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TakayukiKobayashi\Dropbox\☆彡外付ハードディスクバックアップ\HP\2012やりなおし\"/>
    </mc:Choice>
  </mc:AlternateContent>
  <xr:revisionPtr revIDLastSave="0" documentId="13_ncr:1_{F5A73482-FD51-4F7A-A911-6AEC5087A04E}" xr6:coauthVersionLast="45" xr6:coauthVersionMax="45" xr10:uidLastSave="{00000000-0000-0000-0000-000000000000}"/>
  <workbookProtection workbookPassword="96B8" lockStructure="1"/>
  <bookViews>
    <workbookView xWindow="-120" yWindow="-120" windowWidth="29040" windowHeight="17640" xr2:uid="{00000000-000D-0000-FFFF-FFFF00000000}"/>
  </bookViews>
  <sheets>
    <sheet name="消費税有利判定" sheetId="1" r:id="rId1"/>
    <sheet name="消費税届出書提出履歴" sheetId="2" r:id="rId2"/>
  </sheets>
  <externalReferences>
    <externalReference r:id="rId3"/>
  </externalReferences>
  <definedNames>
    <definedName name="_DAT1" localSheetId="0">消費税有利判定!$B$12:$B$73</definedName>
    <definedName name="_DAT2" localSheetId="0">消費税有利判定!#REF!</definedName>
    <definedName name="_DAT2">[1]加工後!#REF!</definedName>
    <definedName name="_DAT3" localSheetId="0">消費税有利判定!$D$12:$D$73</definedName>
    <definedName name="_DAT4" localSheetId="0">消費税有利判定!#REF!</definedName>
    <definedName name="_DAT4">[1]加工後!#REF!</definedName>
    <definedName name="_DAT5" localSheetId="0">消費税有利判定!#REF!</definedName>
    <definedName name="_DAT5">[1]加工後!#REF!</definedName>
    <definedName name="_xlnm._FilterDatabase" localSheetId="0" hidden="1">消費税有利判定!$A$20:$I$75</definedName>
    <definedName name="_xlnm.Print_Area" localSheetId="0">消費税有利判定!$A$1:$W$94</definedName>
    <definedName name="_xlnm.Print_Titles" localSheetId="0">消費税有利判定!$6:$11</definedName>
    <definedName name="TEST0" localSheetId="0">消費税有利判定!$B$12:$D$72</definedName>
    <definedName name="TESTHKEY" localSheetId="0">消費税有利判定!$D$8:$D$8</definedName>
    <definedName name="TESTKEYS" localSheetId="0">消費税有利判定!$B$12:$B$72</definedName>
    <definedName name="TESTVKEY" localSheetId="0">消費税有利判定!$A$8:$A$8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 i="1" l="1"/>
  <c r="N10" i="1" l="1"/>
  <c r="V19" i="1" l="1"/>
  <c r="V17" i="1"/>
  <c r="V16" i="1"/>
  <c r="V15" i="1"/>
  <c r="V14" i="1"/>
  <c r="X19" i="1"/>
  <c r="AA19" i="1" s="1"/>
  <c r="X17" i="1"/>
  <c r="AA17" i="1" s="1"/>
  <c r="X16" i="1"/>
  <c r="X15" i="1"/>
  <c r="AA15" i="1" s="1"/>
  <c r="X14" i="1"/>
  <c r="AA14" i="1" s="1"/>
  <c r="Y19" i="1"/>
  <c r="AB19" i="1" s="1"/>
  <c r="Y17" i="1"/>
  <c r="AB17" i="1" s="1"/>
  <c r="Y16" i="1"/>
  <c r="AB16" i="1" s="1"/>
  <c r="Y15" i="1"/>
  <c r="AB15" i="1" s="1"/>
  <c r="Y14" i="1"/>
  <c r="AB14" i="1" s="1"/>
  <c r="P28" i="1"/>
  <c r="N21" i="1"/>
  <c r="N22" i="1" s="1"/>
  <c r="H84" i="1"/>
  <c r="H77" i="1"/>
  <c r="H73" i="1"/>
  <c r="H68" i="1"/>
  <c r="H21" i="1"/>
  <c r="H37" i="1"/>
  <c r="H19" i="1"/>
  <c r="N9" i="1" s="1"/>
  <c r="T20" i="1" s="1"/>
  <c r="T18" i="1" s="1"/>
  <c r="X18" i="1" s="1"/>
  <c r="AA18" i="1" s="1"/>
  <c r="N34" i="1" l="1"/>
  <c r="T30" i="1"/>
  <c r="Z16" i="1"/>
  <c r="AC16" i="1" s="1"/>
  <c r="Z15" i="1"/>
  <c r="AC15" i="1" s="1"/>
  <c r="AA16" i="1"/>
  <c r="AA20" i="1" s="1"/>
  <c r="Z17" i="1"/>
  <c r="AC17" i="1" s="1"/>
  <c r="Z19" i="1"/>
  <c r="AC19" i="1" s="1"/>
  <c r="Z14" i="1"/>
  <c r="AC14" i="1" s="1"/>
  <c r="X20" i="1"/>
  <c r="T9" i="1"/>
  <c r="T10" i="1" s="1"/>
  <c r="H87" i="1"/>
  <c r="H88" i="1" s="1"/>
  <c r="N26" i="1" s="1"/>
  <c r="N27" i="1" s="1"/>
  <c r="N29" i="1" s="1"/>
  <c r="I86" i="1"/>
  <c r="I85" i="1"/>
  <c r="I83" i="1"/>
  <c r="I82" i="1"/>
  <c r="I81" i="1"/>
  <c r="I80" i="1"/>
  <c r="I79" i="1"/>
  <c r="I78" i="1"/>
  <c r="I76" i="1"/>
  <c r="I75" i="1"/>
  <c r="I74" i="1"/>
  <c r="I72" i="1"/>
  <c r="I71" i="1"/>
  <c r="I70" i="1"/>
  <c r="I69"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6" i="1"/>
  <c r="I35" i="1"/>
  <c r="I34" i="1"/>
  <c r="I33" i="1"/>
  <c r="I32" i="1"/>
  <c r="I31" i="1"/>
  <c r="I30" i="1"/>
  <c r="I29" i="1"/>
  <c r="I28" i="1"/>
  <c r="I27" i="1"/>
  <c r="I26" i="1"/>
  <c r="I25" i="1"/>
  <c r="I24" i="1"/>
  <c r="I23" i="1"/>
  <c r="I22" i="1"/>
  <c r="I20" i="1"/>
  <c r="I18" i="1"/>
  <c r="I17" i="1"/>
  <c r="I16" i="1"/>
  <c r="I15" i="1"/>
  <c r="I14" i="1"/>
  <c r="I13" i="1"/>
  <c r="I12" i="1"/>
  <c r="AC25" i="1" l="1"/>
  <c r="I77"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86" i="1"/>
  <c r="C85" i="1"/>
  <c r="C83" i="1"/>
  <c r="C82" i="1"/>
  <c r="C81" i="1"/>
  <c r="C80" i="1"/>
  <c r="C79" i="1"/>
  <c r="C78" i="1"/>
  <c r="C76" i="1"/>
  <c r="C75" i="1"/>
  <c r="C74" i="1"/>
  <c r="C72" i="1"/>
  <c r="C71" i="1"/>
  <c r="C70" i="1"/>
  <c r="C69" i="1"/>
  <c r="C67" i="1"/>
  <c r="C66" i="1"/>
  <c r="C36" i="1"/>
  <c r="C35" i="1"/>
  <c r="C34" i="1"/>
  <c r="C33" i="1"/>
  <c r="C32" i="1"/>
  <c r="C31" i="1"/>
  <c r="C30" i="1"/>
  <c r="C29" i="1"/>
  <c r="C28" i="1"/>
  <c r="C27" i="1"/>
  <c r="C26" i="1"/>
  <c r="C25" i="1"/>
  <c r="C24" i="1"/>
  <c r="C23" i="1"/>
  <c r="G37" i="1"/>
  <c r="F37" i="1"/>
  <c r="E37" i="1"/>
  <c r="D37" i="1"/>
  <c r="A1" i="1"/>
  <c r="A1" i="2" s="1"/>
  <c r="A2" i="1"/>
  <c r="C22" i="1"/>
  <c r="G87" i="1"/>
  <c r="F87" i="1"/>
  <c r="E87" i="1"/>
  <c r="G84" i="1"/>
  <c r="F84" i="1"/>
  <c r="E84" i="1"/>
  <c r="D87" i="1"/>
  <c r="D84" i="1"/>
  <c r="G77" i="1"/>
  <c r="F77" i="1"/>
  <c r="E77" i="1"/>
  <c r="D77" i="1"/>
  <c r="G73" i="1"/>
  <c r="F73" i="1"/>
  <c r="E73" i="1"/>
  <c r="I21" i="1"/>
  <c r="G21" i="1"/>
  <c r="F21" i="1"/>
  <c r="E21" i="1"/>
  <c r="D21" i="1"/>
  <c r="G19" i="1"/>
  <c r="N11" i="1" s="1"/>
  <c r="D73" i="1"/>
  <c r="F68" i="1"/>
  <c r="E68" i="1"/>
  <c r="D68" i="1"/>
  <c r="F19" i="1"/>
  <c r="E19" i="1"/>
  <c r="N13" i="1" s="1"/>
  <c r="P13" i="1" s="1"/>
  <c r="D19" i="1"/>
  <c r="O34" i="1" l="1"/>
  <c r="P34" i="1" s="1"/>
  <c r="U30" i="1"/>
  <c r="V30" i="1" s="1"/>
  <c r="P11" i="1"/>
  <c r="N12" i="1"/>
  <c r="H90" i="1"/>
  <c r="H93" i="1" s="1"/>
  <c r="H89" i="1"/>
  <c r="H92" i="1" s="1"/>
  <c r="H91" i="1"/>
  <c r="H94" i="1" s="1"/>
  <c r="I73" i="1"/>
  <c r="I84" i="1"/>
  <c r="I68" i="1"/>
  <c r="I87" i="1"/>
  <c r="I19" i="1"/>
  <c r="U9" i="1" s="1"/>
  <c r="I37" i="1"/>
  <c r="I91" i="1" s="1"/>
  <c r="I94" i="1" s="1"/>
  <c r="I89" i="1" l="1"/>
  <c r="I92" i="1" s="1"/>
  <c r="U10" i="1"/>
  <c r="V9" i="1"/>
  <c r="I90" i="1"/>
  <c r="I93" i="1" s="1"/>
  <c r="O9" i="1"/>
  <c r="U20" i="1" s="1"/>
  <c r="I88" i="1"/>
  <c r="V10" i="1" l="1"/>
  <c r="O10" i="1"/>
  <c r="P10" i="1" s="1"/>
  <c r="P9" i="1"/>
  <c r="O26" i="1"/>
  <c r="O27" i="1" s="1"/>
  <c r="U18" i="1"/>
  <c r="Y18" i="1" l="1"/>
  <c r="V18" i="1"/>
  <c r="AQ11" i="1" s="1"/>
  <c r="P27" i="1"/>
  <c r="P29" i="1" s="1"/>
  <c r="O29" i="1"/>
  <c r="O12" i="1"/>
  <c r="P12" i="1" s="1"/>
  <c r="O21" i="1"/>
  <c r="O22" i="1" l="1"/>
  <c r="P22" i="1" s="1"/>
  <c r="P21" i="1"/>
  <c r="Z18" i="1"/>
  <c r="AC18" i="1" s="1"/>
  <c r="AC20" i="1" s="1"/>
  <c r="AB18" i="1"/>
  <c r="AB20" i="1" s="1"/>
  <c r="V20" i="1"/>
  <c r="N14" i="1"/>
  <c r="N15" i="1" s="1"/>
  <c r="N16" i="1" s="1"/>
  <c r="Y20" i="1"/>
  <c r="N32" i="1" l="1"/>
  <c r="N31" i="1"/>
  <c r="O31" i="1"/>
  <c r="O32" i="1"/>
  <c r="Z20" i="1"/>
  <c r="AE25" i="1" s="1"/>
  <c r="V26" i="1" s="1"/>
  <c r="AD25" i="1"/>
  <c r="U26" i="1" s="1"/>
  <c r="W20" i="1"/>
  <c r="W15" i="1"/>
  <c r="W14" i="1"/>
  <c r="W16" i="1"/>
  <c r="W17" i="1"/>
  <c r="W19" i="1"/>
  <c r="W18" i="1"/>
  <c r="O30" i="1"/>
  <c r="N30" i="1"/>
  <c r="AE20" i="1" l="1"/>
  <c r="AF20" i="1" s="1"/>
  <c r="AE18" i="1"/>
  <c r="AF18" i="1" s="1"/>
  <c r="AE16" i="1"/>
  <c r="AF16" i="1" s="1"/>
  <c r="AE14" i="1"/>
  <c r="N33" i="1"/>
  <c r="P30" i="1"/>
  <c r="O33" i="1"/>
  <c r="O35" i="1" s="1"/>
  <c r="P32" i="1"/>
  <c r="P31" i="1"/>
  <c r="BC14" i="1" l="1"/>
  <c r="BB14" i="1"/>
  <c r="BD14" i="1"/>
  <c r="AF14" i="1"/>
  <c r="AJ18" i="1" s="1"/>
  <c r="AH14" i="1"/>
  <c r="AI14" i="1"/>
  <c r="AG14" i="1"/>
  <c r="AG16" i="1"/>
  <c r="AI16" i="1"/>
  <c r="AH16" i="1"/>
  <c r="AH18" i="1"/>
  <c r="AI18" i="1"/>
  <c r="AG18" i="1"/>
  <c r="AH20" i="1"/>
  <c r="AG20" i="1"/>
  <c r="AI20" i="1"/>
  <c r="N35" i="1"/>
  <c r="P33" i="1"/>
  <c r="AN18" i="1" l="1"/>
  <c r="AV18" i="1"/>
  <c r="AR18" i="1"/>
  <c r="BE20" i="1"/>
  <c r="AJ20" i="1"/>
  <c r="AK20" i="1" s="1"/>
  <c r="BE18" i="1"/>
  <c r="AK18" i="1"/>
  <c r="AM18" i="1"/>
  <c r="BB18" i="1"/>
  <c r="AL18" i="1"/>
  <c r="BE16" i="1"/>
  <c r="AJ14" i="1"/>
  <c r="T27" i="1" s="1"/>
  <c r="AJ16" i="1"/>
  <c r="P35" i="1"/>
  <c r="P38" i="1" s="1"/>
  <c r="AS18" i="1" l="1"/>
  <c r="AT18" i="1" s="1"/>
  <c r="AU18" i="1" s="1"/>
  <c r="AO18" i="1"/>
  <c r="AP18" i="1" s="1"/>
  <c r="AM20" i="1"/>
  <c r="BA20" i="1" s="1"/>
  <c r="AN16" i="1"/>
  <c r="AP5" i="1" s="1"/>
  <c r="AV16" i="1"/>
  <c r="AW16" i="1" s="1"/>
  <c r="AR16" i="1"/>
  <c r="AS16" i="1" s="1"/>
  <c r="AN20" i="1"/>
  <c r="AO20" i="1" s="1"/>
  <c r="AP20" i="1" s="1"/>
  <c r="AV20" i="1"/>
  <c r="AW20" i="1" s="1"/>
  <c r="AR20" i="1"/>
  <c r="AS20" i="1" s="1"/>
  <c r="AW18" i="1"/>
  <c r="AX18" i="1" s="1"/>
  <c r="AY18" i="1" s="1"/>
  <c r="BB20" i="1"/>
  <c r="AL20" i="1"/>
  <c r="V27" i="1"/>
  <c r="U27" i="1"/>
  <c r="BA18" i="1"/>
  <c r="AK16" i="1"/>
  <c r="BB16" i="1"/>
  <c r="AZ18" i="1"/>
  <c r="AM16" i="1"/>
  <c r="AL16" i="1"/>
  <c r="P39" i="1"/>
  <c r="P40" i="1" s="1"/>
  <c r="AX16" i="1" l="1"/>
  <c r="AY16" i="1" s="1"/>
  <c r="AT20" i="1"/>
  <c r="AU20" i="1" s="1"/>
  <c r="AT16" i="1"/>
  <c r="AU16" i="1" s="1"/>
  <c r="AX20" i="1"/>
  <c r="AY20" i="1" s="1"/>
  <c r="AO16" i="1"/>
  <c r="AP16" i="1" s="1"/>
  <c r="AQ18" i="1"/>
  <c r="AQ20" i="1"/>
  <c r="AZ20" i="1"/>
  <c r="BA16" i="1"/>
  <c r="AZ16" i="1"/>
  <c r="V28" i="1" l="1"/>
  <c r="V29" i="1" s="1"/>
  <c r="V31" i="1" s="1"/>
  <c r="V38" i="1" s="1"/>
  <c r="V39" i="1" s="1"/>
  <c r="U28" i="1"/>
  <c r="U29" i="1" s="1"/>
  <c r="U31" i="1" s="1"/>
  <c r="AQ16" i="1"/>
  <c r="T28" i="1" s="1"/>
  <c r="T29" i="1" s="1"/>
  <c r="T31" i="1" s="1"/>
  <c r="V40" i="1" l="1"/>
</calcChain>
</file>

<file path=xl/sharedStrings.xml><?xml version="1.0" encoding="utf-8"?>
<sst xmlns="http://schemas.openxmlformats.org/spreadsheetml/2006/main" count="294" uniqueCount="208">
  <si>
    <t>勘定科目</t>
    <rPh sb="0" eb="2">
      <t>カンジョウ</t>
    </rPh>
    <rPh sb="2" eb="4">
      <t>カモク</t>
    </rPh>
    <phoneticPr fontId="2"/>
  </si>
  <si>
    <t>決算額</t>
    <rPh sb="0" eb="2">
      <t>ケッサン</t>
    </rPh>
    <rPh sb="2" eb="3">
      <t>ガク</t>
    </rPh>
    <phoneticPr fontId="2"/>
  </si>
  <si>
    <t>非課税</t>
    <rPh sb="0" eb="3">
      <t>ヒカゼイ</t>
    </rPh>
    <phoneticPr fontId="2"/>
  </si>
  <si>
    <t>資産の譲渡等</t>
    <rPh sb="0" eb="2">
      <t>シサン</t>
    </rPh>
    <rPh sb="3" eb="6">
      <t>ジョウトトウ</t>
    </rPh>
    <phoneticPr fontId="2"/>
  </si>
  <si>
    <t>売上高</t>
  </si>
  <si>
    <t>資産の譲渡等計</t>
    <rPh sb="0" eb="2">
      <t>シサン</t>
    </rPh>
    <rPh sb="3" eb="5">
      <t>ジョウト</t>
    </rPh>
    <rPh sb="5" eb="6">
      <t>トウ</t>
    </rPh>
    <rPh sb="6" eb="7">
      <t>ケイ</t>
    </rPh>
    <phoneticPr fontId="2"/>
  </si>
  <si>
    <t>①</t>
    <phoneticPr fontId="2"/>
  </si>
  <si>
    <t>貸倒損失</t>
    <rPh sb="0" eb="2">
      <t>カシダオ</t>
    </rPh>
    <rPh sb="2" eb="4">
      <t>ソンシツ</t>
    </rPh>
    <phoneticPr fontId="2"/>
  </si>
  <si>
    <t>貸倒損失計</t>
    <rPh sb="4" eb="5">
      <t>ケイ</t>
    </rPh>
    <phoneticPr fontId="2"/>
  </si>
  <si>
    <t>仕入税額控除</t>
    <rPh sb="0" eb="2">
      <t>シイレ</t>
    </rPh>
    <rPh sb="2" eb="4">
      <t>ゼイガク</t>
    </rPh>
    <rPh sb="4" eb="6">
      <t>コウジョ</t>
    </rPh>
    <phoneticPr fontId="2"/>
  </si>
  <si>
    <t>仕入高</t>
  </si>
  <si>
    <t>仕入値引･返品</t>
  </si>
  <si>
    <t>製造原価計</t>
    <rPh sb="0" eb="2">
      <t>セイゾウ</t>
    </rPh>
    <rPh sb="2" eb="4">
      <t>ゲンカ</t>
    </rPh>
    <rPh sb="4" eb="5">
      <t>ケイ</t>
    </rPh>
    <phoneticPr fontId="2"/>
  </si>
  <si>
    <t>②</t>
    <phoneticPr fontId="2"/>
  </si>
  <si>
    <t>租税公課</t>
  </si>
  <si>
    <t>水道光熱費</t>
  </si>
  <si>
    <t>旅費交通費</t>
  </si>
  <si>
    <t>通信費</t>
  </si>
  <si>
    <t>広告宣伝費</t>
  </si>
  <si>
    <t>消耗品費</t>
  </si>
  <si>
    <t>減価償却費</t>
  </si>
  <si>
    <t>雑費</t>
  </si>
  <si>
    <t>販管費計</t>
    <rPh sb="0" eb="1">
      <t>ハン</t>
    </rPh>
    <rPh sb="1" eb="2">
      <t>カン</t>
    </rPh>
    <rPh sb="2" eb="3">
      <t>ヒ</t>
    </rPh>
    <rPh sb="3" eb="4">
      <t>ケイ</t>
    </rPh>
    <phoneticPr fontId="2"/>
  </si>
  <si>
    <t>営業外合計</t>
    <rPh sb="0" eb="3">
      <t>エイギョウガイ</t>
    </rPh>
    <rPh sb="3" eb="4">
      <t>ゴウ</t>
    </rPh>
    <rPh sb="4" eb="5">
      <t>ケイ</t>
    </rPh>
    <phoneticPr fontId="2"/>
  </si>
  <si>
    <t>その他計</t>
    <rPh sb="2" eb="3">
      <t>タ</t>
    </rPh>
    <rPh sb="3" eb="4">
      <t>ケイ</t>
    </rPh>
    <phoneticPr fontId="2"/>
  </si>
  <si>
    <t>固定資産計</t>
    <rPh sb="0" eb="2">
      <t>コテイ</t>
    </rPh>
    <rPh sb="2" eb="4">
      <t>シサン</t>
    </rPh>
    <rPh sb="4" eb="5">
      <t>ケイ</t>
    </rPh>
    <phoneticPr fontId="2"/>
  </si>
  <si>
    <t>繰延資産計</t>
    <rPh sb="0" eb="2">
      <t>クリノベ</t>
    </rPh>
    <rPh sb="2" eb="4">
      <t>シサン</t>
    </rPh>
    <rPh sb="4" eb="5">
      <t>ケイ</t>
    </rPh>
    <phoneticPr fontId="2"/>
  </si>
  <si>
    <t>不課税</t>
    <rPh sb="0" eb="1">
      <t>フ</t>
    </rPh>
    <rPh sb="1" eb="3">
      <t>カゼイ</t>
    </rPh>
    <phoneticPr fontId="2"/>
  </si>
  <si>
    <t>地代家賃</t>
  </si>
  <si>
    <t>電力費</t>
    <rPh sb="0" eb="2">
      <t>デンリョク</t>
    </rPh>
    <rPh sb="2" eb="3">
      <t>ヒ</t>
    </rPh>
    <phoneticPr fontId="2"/>
  </si>
  <si>
    <t>労務費</t>
    <rPh sb="0" eb="3">
      <t>ロウムヒ</t>
    </rPh>
    <phoneticPr fontId="2"/>
  </si>
  <si>
    <t>建物</t>
    <rPh sb="0" eb="2">
      <t>タテモノ</t>
    </rPh>
    <phoneticPr fontId="2"/>
  </si>
  <si>
    <t>建物付属設備</t>
    <rPh sb="0" eb="2">
      <t>タテモノ</t>
    </rPh>
    <rPh sb="2" eb="4">
      <t>フゾク</t>
    </rPh>
    <rPh sb="4" eb="6">
      <t>セツビ</t>
    </rPh>
    <phoneticPr fontId="2"/>
  </si>
  <si>
    <t>機械装置</t>
    <rPh sb="0" eb="2">
      <t>キカイ</t>
    </rPh>
    <rPh sb="2" eb="4">
      <t>ソウチ</t>
    </rPh>
    <phoneticPr fontId="2"/>
  </si>
  <si>
    <t>車両運搬具</t>
    <rPh sb="0" eb="2">
      <t>シャリョウ</t>
    </rPh>
    <rPh sb="2" eb="4">
      <t>ウンパン</t>
    </rPh>
    <rPh sb="4" eb="5">
      <t>グ</t>
    </rPh>
    <phoneticPr fontId="2"/>
  </si>
  <si>
    <t>工具器具備品</t>
    <rPh sb="0" eb="2">
      <t>コウグ</t>
    </rPh>
    <rPh sb="2" eb="4">
      <t>キグ</t>
    </rPh>
    <rPh sb="4" eb="6">
      <t>ビヒン</t>
    </rPh>
    <phoneticPr fontId="2"/>
  </si>
  <si>
    <t>内訳</t>
    <rPh sb="0" eb="2">
      <t>ウチワケ</t>
    </rPh>
    <phoneticPr fontId="2"/>
  </si>
  <si>
    <t>（0％課税）</t>
    <rPh sb="3" eb="5">
      <t>カゼイ</t>
    </rPh>
    <phoneticPr fontId="2"/>
  </si>
  <si>
    <t>免税</t>
    <phoneticPr fontId="2"/>
  </si>
  <si>
    <t>課税</t>
    <phoneticPr fontId="2"/>
  </si>
  <si>
    <t>１、基礎数字の入力</t>
    <rPh sb="2" eb="4">
      <t>キソ</t>
    </rPh>
    <rPh sb="4" eb="6">
      <t>スウジ</t>
    </rPh>
    <rPh sb="7" eb="9">
      <t>ニュウリョク</t>
    </rPh>
    <phoneticPr fontId="2"/>
  </si>
  <si>
    <t>0％課税の金額</t>
    <rPh sb="2" eb="4">
      <t>カゼイ</t>
    </rPh>
    <rPh sb="5" eb="7">
      <t>キンガク</t>
    </rPh>
    <phoneticPr fontId="2"/>
  </si>
  <si>
    <t>②+③</t>
    <phoneticPr fontId="2"/>
  </si>
  <si>
    <t>２、 課税売上割合と区分経理の要否</t>
    <rPh sb="3" eb="5">
      <t>カゼイ</t>
    </rPh>
    <rPh sb="5" eb="7">
      <t>ウリアゲ</t>
    </rPh>
    <rPh sb="7" eb="9">
      <t>ワリアイ</t>
    </rPh>
    <rPh sb="10" eb="12">
      <t>クブン</t>
    </rPh>
    <rPh sb="12" eb="14">
      <t>ケイリ</t>
    </rPh>
    <rPh sb="15" eb="17">
      <t>ヨウヒ</t>
    </rPh>
    <phoneticPr fontId="4"/>
  </si>
  <si>
    <t>課税売上割合</t>
    <rPh sb="0" eb="2">
      <t>カゼイ</t>
    </rPh>
    <rPh sb="2" eb="4">
      <t>ウリアゲ</t>
    </rPh>
    <rPh sb="4" eb="6">
      <t>ワリアイ</t>
    </rPh>
    <phoneticPr fontId="2"/>
  </si>
  <si>
    <t>区分経理の要否</t>
    <rPh sb="0" eb="2">
      <t>クブン</t>
    </rPh>
    <rPh sb="2" eb="4">
      <t>ケイリ</t>
    </rPh>
    <rPh sb="5" eb="7">
      <t>ヨウヒ</t>
    </rPh>
    <phoneticPr fontId="2"/>
  </si>
  <si>
    <t>課のみ</t>
  </si>
  <si>
    <t>共通</t>
  </si>
  <si>
    <t>仕入
対応</t>
    <rPh sb="0" eb="2">
      <t>シイレ</t>
    </rPh>
    <rPh sb="3" eb="5">
      <t>タイオウ</t>
    </rPh>
    <phoneticPr fontId="2"/>
  </si>
  <si>
    <t>３、 消費税額の計算</t>
    <rPh sb="3" eb="6">
      <t>ショウヒゼイ</t>
    </rPh>
    <rPh sb="6" eb="7">
      <t>ガク</t>
    </rPh>
    <rPh sb="8" eb="10">
      <t>ケイサン</t>
    </rPh>
    <phoneticPr fontId="4"/>
  </si>
  <si>
    <t>課税標準額</t>
    <rPh sb="0" eb="2">
      <t>カゼイ</t>
    </rPh>
    <rPh sb="2" eb="4">
      <t>ヒョウジュン</t>
    </rPh>
    <rPh sb="4" eb="5">
      <t>ガク</t>
    </rPh>
    <phoneticPr fontId="2"/>
  </si>
  <si>
    <t>課税仕入れに係る支払対価</t>
    <rPh sb="0" eb="2">
      <t>カゼイ</t>
    </rPh>
    <rPh sb="2" eb="4">
      <t>シイ</t>
    </rPh>
    <rPh sb="6" eb="7">
      <t>カカ</t>
    </rPh>
    <rPh sb="8" eb="10">
      <t>シハライ</t>
    </rPh>
    <rPh sb="10" eb="12">
      <t>タイカ</t>
    </rPh>
    <phoneticPr fontId="2"/>
  </si>
  <si>
    <t>課税貨物の消費税</t>
    <rPh sb="0" eb="2">
      <t>カゼイ</t>
    </rPh>
    <rPh sb="2" eb="4">
      <t>カモツ</t>
    </rPh>
    <rPh sb="5" eb="8">
      <t>ショウヒゼイ</t>
    </rPh>
    <phoneticPr fontId="2"/>
  </si>
  <si>
    <t>全額控除</t>
    <rPh sb="0" eb="2">
      <t>ゼンガク</t>
    </rPh>
    <rPh sb="2" eb="4">
      <t>コウジョ</t>
    </rPh>
    <phoneticPr fontId="2"/>
  </si>
  <si>
    <t>課のみ</t>
    <rPh sb="0" eb="1">
      <t>カ</t>
    </rPh>
    <phoneticPr fontId="2"/>
  </si>
  <si>
    <t>非のみ</t>
    <rPh sb="0" eb="1">
      <t>ヒ</t>
    </rPh>
    <phoneticPr fontId="2"/>
  </si>
  <si>
    <t>共通</t>
    <rPh sb="0" eb="2">
      <t>キョウツウ</t>
    </rPh>
    <phoneticPr fontId="2"/>
  </si>
  <si>
    <t>個別対応方式</t>
    <rPh sb="0" eb="2">
      <t>コベツ</t>
    </rPh>
    <rPh sb="2" eb="4">
      <t>タイオウ</t>
    </rPh>
    <rPh sb="4" eb="6">
      <t>ホウシキ</t>
    </rPh>
    <phoneticPr fontId="2"/>
  </si>
  <si>
    <t>一括比例配分方式</t>
    <rPh sb="0" eb="2">
      <t>イッカツ</t>
    </rPh>
    <rPh sb="2" eb="4">
      <t>ヒレイ</t>
    </rPh>
    <rPh sb="4" eb="6">
      <t>ハイブン</t>
    </rPh>
    <rPh sb="6" eb="8">
      <t>ホウシキ</t>
    </rPh>
    <phoneticPr fontId="2"/>
  </si>
  <si>
    <t>４、 控除対象仕入税額の計算</t>
    <rPh sb="3" eb="5">
      <t>コウジョ</t>
    </rPh>
    <rPh sb="5" eb="7">
      <t>タイショウ</t>
    </rPh>
    <rPh sb="7" eb="9">
      <t>シイレ</t>
    </rPh>
    <rPh sb="9" eb="11">
      <t>ゼイガク</t>
    </rPh>
    <rPh sb="12" eb="14">
      <t>ケイサン</t>
    </rPh>
    <phoneticPr fontId="4"/>
  </si>
  <si>
    <t>貸倒れに係る税額</t>
    <rPh sb="0" eb="1">
      <t>カ</t>
    </rPh>
    <rPh sb="1" eb="2">
      <t>ダオ</t>
    </rPh>
    <rPh sb="4" eb="5">
      <t>カカ</t>
    </rPh>
    <rPh sb="6" eb="8">
      <t>ゼイガク</t>
    </rPh>
    <phoneticPr fontId="2"/>
  </si>
  <si>
    <t>控除税額</t>
    <rPh sb="0" eb="2">
      <t>コウジョ</t>
    </rPh>
    <rPh sb="2" eb="4">
      <t>ゼイガク</t>
    </rPh>
    <phoneticPr fontId="2"/>
  </si>
  <si>
    <t>５、 納付額の計算</t>
    <rPh sb="3" eb="5">
      <t>ノウフ</t>
    </rPh>
    <rPh sb="5" eb="6">
      <t>ガク</t>
    </rPh>
    <rPh sb="7" eb="9">
      <t>ケイサン</t>
    </rPh>
    <phoneticPr fontId="4"/>
  </si>
  <si>
    <t>国税納付額</t>
    <rPh sb="0" eb="2">
      <t>コクゼイ</t>
    </rPh>
    <rPh sb="2" eb="4">
      <t>ノウフ</t>
    </rPh>
    <rPh sb="4" eb="5">
      <t>ガク</t>
    </rPh>
    <phoneticPr fontId="2"/>
  </si>
  <si>
    <t>合計</t>
    <rPh sb="0" eb="2">
      <t>ゴウケイ</t>
    </rPh>
    <phoneticPr fontId="2"/>
  </si>
  <si>
    <t>一般課税方式での消費税額</t>
    <rPh sb="0" eb="2">
      <t>イッパン</t>
    </rPh>
    <rPh sb="2" eb="4">
      <t>カゼイ</t>
    </rPh>
    <rPh sb="4" eb="6">
      <t>ホウシキ</t>
    </rPh>
    <rPh sb="8" eb="11">
      <t>ショウヒゼイ</t>
    </rPh>
    <rPh sb="11" eb="12">
      <t>ガク</t>
    </rPh>
    <phoneticPr fontId="2"/>
  </si>
  <si>
    <t>簡易課税方式での消費税額</t>
    <rPh sb="0" eb="2">
      <t>カンイ</t>
    </rPh>
    <rPh sb="2" eb="4">
      <t>カゼイ</t>
    </rPh>
    <rPh sb="4" eb="6">
      <t>ホウシキ</t>
    </rPh>
    <rPh sb="8" eb="11">
      <t>ショウヒゼイ</t>
    </rPh>
    <rPh sb="11" eb="12">
      <t>ガク</t>
    </rPh>
    <phoneticPr fontId="2"/>
  </si>
  <si>
    <t>６、 消費税額の計算</t>
    <rPh sb="3" eb="6">
      <t>ショウヒゼイ</t>
    </rPh>
    <rPh sb="6" eb="7">
      <t>ガク</t>
    </rPh>
    <rPh sb="8" eb="10">
      <t>ケイサン</t>
    </rPh>
    <phoneticPr fontId="4"/>
  </si>
  <si>
    <t>７、 課税売上高の事業区分</t>
    <rPh sb="3" eb="5">
      <t>カゼイ</t>
    </rPh>
    <rPh sb="5" eb="7">
      <t>ウリアゲ</t>
    </rPh>
    <rPh sb="7" eb="8">
      <t>ダカ</t>
    </rPh>
    <rPh sb="9" eb="11">
      <t>ジギョウ</t>
    </rPh>
    <rPh sb="11" eb="13">
      <t>クブン</t>
    </rPh>
    <phoneticPr fontId="4"/>
  </si>
  <si>
    <t>第二種（小売業）</t>
    <rPh sb="0" eb="1">
      <t>ダイ</t>
    </rPh>
    <rPh sb="1" eb="2">
      <t>ニ</t>
    </rPh>
    <rPh sb="2" eb="3">
      <t>シュ</t>
    </rPh>
    <rPh sb="4" eb="7">
      <t>コウリギョウ</t>
    </rPh>
    <phoneticPr fontId="2"/>
  </si>
  <si>
    <t>第一種（卸売業）</t>
    <rPh sb="0" eb="1">
      <t>ダイ</t>
    </rPh>
    <rPh sb="1" eb="3">
      <t>イッシュ</t>
    </rPh>
    <rPh sb="4" eb="7">
      <t>オロシウリギョウ</t>
    </rPh>
    <phoneticPr fontId="2"/>
  </si>
  <si>
    <t>第三種（製造業）</t>
    <rPh sb="0" eb="1">
      <t>ダイ</t>
    </rPh>
    <rPh sb="1" eb="2">
      <t>サン</t>
    </rPh>
    <rPh sb="2" eb="3">
      <t>シュ</t>
    </rPh>
    <rPh sb="4" eb="7">
      <t>セイゾウギョウ</t>
    </rPh>
    <phoneticPr fontId="2"/>
  </si>
  <si>
    <t>第五種（サービス業）</t>
    <rPh sb="0" eb="1">
      <t>ダイ</t>
    </rPh>
    <rPh sb="1" eb="2">
      <t>ゴ</t>
    </rPh>
    <rPh sb="2" eb="3">
      <t>シュ</t>
    </rPh>
    <rPh sb="8" eb="9">
      <t>ギョウ</t>
    </rPh>
    <phoneticPr fontId="2"/>
  </si>
  <si>
    <t>第四種（その他）</t>
    <rPh sb="0" eb="1">
      <t>ダイ</t>
    </rPh>
    <rPh sb="1" eb="2">
      <t>ヨン</t>
    </rPh>
    <rPh sb="2" eb="3">
      <t>シュ</t>
    </rPh>
    <rPh sb="6" eb="7">
      <t>タ</t>
    </rPh>
    <phoneticPr fontId="2"/>
  </si>
  <si>
    <t>割合</t>
    <rPh sb="0" eb="2">
      <t>ワリアイ</t>
    </rPh>
    <phoneticPr fontId="2"/>
  </si>
  <si>
    <t>原則</t>
    <rPh sb="0" eb="2">
      <t>ゲンソク</t>
    </rPh>
    <phoneticPr fontId="2"/>
  </si>
  <si>
    <t>消費税額</t>
    <rPh sb="0" eb="3">
      <t>ショウヒゼイ</t>
    </rPh>
    <rPh sb="3" eb="4">
      <t>ガク</t>
    </rPh>
    <phoneticPr fontId="2"/>
  </si>
  <si>
    <t>最大割合</t>
    <rPh sb="0" eb="2">
      <t>サイダイ</t>
    </rPh>
    <rPh sb="2" eb="4">
      <t>ワリアイ</t>
    </rPh>
    <phoneticPr fontId="2"/>
  </si>
  <si>
    <t>２種類で75％以上</t>
    <rPh sb="1" eb="3">
      <t>シュルイ</t>
    </rPh>
    <rPh sb="7" eb="9">
      <t>イジョウ</t>
    </rPh>
    <phoneticPr fontId="2"/>
  </si>
  <si>
    <t>１種類で75％以上</t>
    <rPh sb="1" eb="2">
      <t>シュ</t>
    </rPh>
    <rPh sb="2" eb="3">
      <t>ルイ</t>
    </rPh>
    <rPh sb="7" eb="9">
      <t>イジョウ</t>
    </rPh>
    <phoneticPr fontId="2"/>
  </si>
  <si>
    <t>1種類</t>
    <rPh sb="1" eb="3">
      <t>シュルイ</t>
    </rPh>
    <phoneticPr fontId="2"/>
  </si>
  <si>
    <t>二番目の割合</t>
    <rPh sb="0" eb="3">
      <t>ニバンメ</t>
    </rPh>
    <rPh sb="4" eb="6">
      <t>ワリアイ</t>
    </rPh>
    <phoneticPr fontId="2"/>
  </si>
  <si>
    <t>原則みなし仕入れ率</t>
    <rPh sb="0" eb="2">
      <t>ゲンソク</t>
    </rPh>
    <rPh sb="5" eb="7">
      <t>シイ</t>
    </rPh>
    <rPh sb="8" eb="9">
      <t>リツ</t>
    </rPh>
    <phoneticPr fontId="2"/>
  </si>
  <si>
    <t>⑤～⑦の最大額</t>
    <rPh sb="4" eb="5">
      <t>サイ</t>
    </rPh>
    <rPh sb="6" eb="7">
      <t>ガク</t>
    </rPh>
    <phoneticPr fontId="2"/>
  </si>
  <si>
    <t>①～③の最大額</t>
    <rPh sb="4" eb="5">
      <t>サイ</t>
    </rPh>
    <rPh sb="6" eb="7">
      <t>ガク</t>
    </rPh>
    <phoneticPr fontId="2"/>
  </si>
  <si>
    <t>８、 控除対象仕入税額の計算</t>
    <rPh sb="3" eb="5">
      <t>コウジョ</t>
    </rPh>
    <rPh sb="5" eb="7">
      <t>タイショウ</t>
    </rPh>
    <rPh sb="7" eb="9">
      <t>シイレ</t>
    </rPh>
    <rPh sb="9" eb="11">
      <t>ゼイガク</t>
    </rPh>
    <rPh sb="12" eb="14">
      <t>ケイサン</t>
    </rPh>
    <phoneticPr fontId="4"/>
  </si>
  <si>
    <t>９、 納付額の計算</t>
    <rPh sb="3" eb="5">
      <t>ノウフ</t>
    </rPh>
    <rPh sb="5" eb="6">
      <t>ガク</t>
    </rPh>
    <rPh sb="7" eb="9">
      <t>ケイサン</t>
    </rPh>
    <phoneticPr fontId="4"/>
  </si>
  <si>
    <t>小林敬幸税理士事務所</t>
    <rPh sb="0" eb="2">
      <t>コバヤシ</t>
    </rPh>
    <rPh sb="2" eb="4">
      <t>タカユキ</t>
    </rPh>
    <rPh sb="4" eb="7">
      <t>ゼイリシ</t>
    </rPh>
    <rPh sb="7" eb="9">
      <t>ジム</t>
    </rPh>
    <rPh sb="9" eb="10">
      <t>ショ</t>
    </rPh>
    <phoneticPr fontId="4"/>
  </si>
  <si>
    <t>１、右の欄に社名を入力してください</t>
    <rPh sb="2" eb="3">
      <t>ミギ</t>
    </rPh>
    <rPh sb="4" eb="5">
      <t>ラン</t>
    </rPh>
    <rPh sb="6" eb="8">
      <t>シャメイ</t>
    </rPh>
    <rPh sb="9" eb="11">
      <t>ニュウリョク</t>
    </rPh>
    <phoneticPr fontId="2"/>
  </si>
  <si>
    <t>２、予測時点での月を入力してください。</t>
    <rPh sb="2" eb="4">
      <t>ヨソク</t>
    </rPh>
    <rPh sb="4" eb="6">
      <t>ジテン</t>
    </rPh>
    <rPh sb="8" eb="9">
      <t>ツキ</t>
    </rPh>
    <rPh sb="10" eb="12">
      <t>ニュウリョク</t>
    </rPh>
    <phoneticPr fontId="2"/>
  </si>
  <si>
    <t>⑤</t>
    <phoneticPr fontId="2"/>
  </si>
  <si>
    <t>①</t>
    <phoneticPr fontId="2"/>
  </si>
  <si>
    <t>④+⑤</t>
    <phoneticPr fontId="2"/>
  </si>
  <si>
    <t>②</t>
    <phoneticPr fontId="2"/>
  </si>
  <si>
    <t>③</t>
    <phoneticPr fontId="2"/>
  </si>
  <si>
    <t>④</t>
    <phoneticPr fontId="2"/>
  </si>
  <si>
    <t>①</t>
    <phoneticPr fontId="2"/>
  </si>
  <si>
    <t>②</t>
    <phoneticPr fontId="2"/>
  </si>
  <si>
    <t>外注工賃</t>
    <phoneticPr fontId="2"/>
  </si>
  <si>
    <t>③</t>
    <phoneticPr fontId="2"/>
  </si>
  <si>
    <t>④</t>
    <phoneticPr fontId="2"/>
  </si>
  <si>
    <t>②+③</t>
    <phoneticPr fontId="2"/>
  </si>
  <si>
    <t>水道光熱費</t>
    <phoneticPr fontId="2"/>
  </si>
  <si>
    <t>⑤</t>
    <phoneticPr fontId="2"/>
  </si>
  <si>
    <t>修繕費</t>
    <phoneticPr fontId="2"/>
  </si>
  <si>
    <t>⑥</t>
    <phoneticPr fontId="2"/>
  </si>
  <si>
    <t>減価償却費</t>
    <phoneticPr fontId="2"/>
  </si>
  <si>
    <t>⑦</t>
    <phoneticPr fontId="2"/>
  </si>
  <si>
    <t>⑧</t>
    <phoneticPr fontId="2"/>
  </si>
  <si>
    <t>⑨</t>
    <phoneticPr fontId="2"/>
  </si>
  <si>
    <t>⑩</t>
    <phoneticPr fontId="2"/>
  </si>
  <si>
    <t>うち</t>
    <phoneticPr fontId="2"/>
  </si>
  <si>
    <t>シミュレーション元の数字を入力</t>
    <rPh sb="8" eb="9">
      <t>モト</t>
    </rPh>
    <rPh sb="10" eb="12">
      <t>スウジ</t>
    </rPh>
    <rPh sb="13" eb="15">
      <t>ニュウリョク</t>
    </rPh>
    <phoneticPr fontId="2"/>
  </si>
  <si>
    <t>一般課税と簡易課税の納税額の比較</t>
    <rPh sb="0" eb="2">
      <t>イッパン</t>
    </rPh>
    <rPh sb="2" eb="4">
      <t>カゼイ</t>
    </rPh>
    <rPh sb="5" eb="7">
      <t>カンイ</t>
    </rPh>
    <rPh sb="7" eb="9">
      <t>カゼイ</t>
    </rPh>
    <rPh sb="10" eb="12">
      <t>ノウゼイ</t>
    </rPh>
    <rPh sb="12" eb="13">
      <t>ガク</t>
    </rPh>
    <rPh sb="14" eb="16">
      <t>ヒカク</t>
    </rPh>
    <phoneticPr fontId="2"/>
  </si>
  <si>
    <t>２、簡易課税方式による計算方法</t>
    <rPh sb="2" eb="4">
      <t>カンイ</t>
    </rPh>
    <rPh sb="4" eb="6">
      <t>カゼイ</t>
    </rPh>
    <rPh sb="6" eb="8">
      <t>ホウシキ</t>
    </rPh>
    <rPh sb="11" eb="13">
      <t>ケイサン</t>
    </rPh>
    <rPh sb="13" eb="15">
      <t>ホウホウ</t>
    </rPh>
    <phoneticPr fontId="2"/>
  </si>
  <si>
    <t>のいずれか有利な方を選択することが可能です。</t>
    <rPh sb="5" eb="7">
      <t>ユウリ</t>
    </rPh>
    <rPh sb="8" eb="9">
      <t>ホウ</t>
    </rPh>
    <rPh sb="10" eb="12">
      <t>センタク</t>
    </rPh>
    <rPh sb="17" eb="19">
      <t>カノウ</t>
    </rPh>
    <phoneticPr fontId="2"/>
  </si>
  <si>
    <t>必要があります。</t>
    <rPh sb="0" eb="2">
      <t>ヒツヨウ</t>
    </rPh>
    <phoneticPr fontId="2"/>
  </si>
  <si>
    <t>１、一般課税方式による計算方法</t>
    <rPh sb="2" eb="4">
      <t>イッパン</t>
    </rPh>
    <rPh sb="4" eb="6">
      <t>カゼイ</t>
    </rPh>
    <rPh sb="6" eb="8">
      <t>ホウシキ</t>
    </rPh>
    <rPh sb="11" eb="13">
      <t>ケイサン</t>
    </rPh>
    <rPh sb="13" eb="15">
      <t>ホウホウ</t>
    </rPh>
    <phoneticPr fontId="2"/>
  </si>
  <si>
    <t>※一度簡易課税方式を選択すると、２年間は変更できません。</t>
    <rPh sb="1" eb="3">
      <t>イチド</t>
    </rPh>
    <rPh sb="3" eb="5">
      <t>カンイ</t>
    </rPh>
    <rPh sb="5" eb="7">
      <t>カゼイ</t>
    </rPh>
    <rPh sb="7" eb="9">
      <t>ホウシキ</t>
    </rPh>
    <rPh sb="10" eb="12">
      <t>センタク</t>
    </rPh>
    <rPh sb="17" eb="19">
      <t>ネンカン</t>
    </rPh>
    <rPh sb="20" eb="22">
      <t>ヘンコウ</t>
    </rPh>
    <phoneticPr fontId="2"/>
  </si>
  <si>
    <t>　　一方「簡易課税方式による計算方法」では、固定資産の購入に対する消費税額を</t>
    <rPh sb="2" eb="4">
      <t>イッポウ</t>
    </rPh>
    <rPh sb="5" eb="7">
      <t>カンイ</t>
    </rPh>
    <rPh sb="7" eb="9">
      <t>カゼイ</t>
    </rPh>
    <rPh sb="9" eb="11">
      <t>ホウシキ</t>
    </rPh>
    <rPh sb="14" eb="16">
      <t>ケイサン</t>
    </rPh>
    <rPh sb="16" eb="18">
      <t>ホウホウ</t>
    </rPh>
    <rPh sb="22" eb="24">
      <t>コテイ</t>
    </rPh>
    <rPh sb="24" eb="26">
      <t>シサン</t>
    </rPh>
    <rPh sb="27" eb="29">
      <t>コウニュウ</t>
    </rPh>
    <rPh sb="30" eb="31">
      <t>タイ</t>
    </rPh>
    <rPh sb="33" eb="36">
      <t>ショウヒゼイ</t>
    </rPh>
    <rPh sb="36" eb="37">
      <t>ガク</t>
    </rPh>
    <phoneticPr fontId="2"/>
  </si>
  <si>
    <t>　　控除対象額にすることができません。</t>
    <rPh sb="6" eb="7">
      <t>ガク</t>
    </rPh>
    <phoneticPr fontId="2"/>
  </si>
  <si>
    <t>　　固定資産の購入に対する消費税額を控除対象額にすることができます。</t>
    <rPh sb="13" eb="15">
      <t>ショウヒ</t>
    </rPh>
    <rPh sb="15" eb="17">
      <t>ゼイガク</t>
    </rPh>
    <rPh sb="18" eb="20">
      <t>コウジョ</t>
    </rPh>
    <rPh sb="20" eb="22">
      <t>タイショウ</t>
    </rPh>
    <rPh sb="22" eb="23">
      <t>ガク</t>
    </rPh>
    <phoneticPr fontId="2"/>
  </si>
  <si>
    <t>※多額の固定資産の購入などを行う場合には「一般課税方式による計算方法」では、</t>
    <rPh sb="1" eb="3">
      <t>タガク</t>
    </rPh>
    <rPh sb="4" eb="6">
      <t>コテイ</t>
    </rPh>
    <rPh sb="6" eb="8">
      <t>シサン</t>
    </rPh>
    <rPh sb="9" eb="11">
      <t>コウニュウ</t>
    </rPh>
    <rPh sb="14" eb="15">
      <t>オコナ</t>
    </rPh>
    <rPh sb="16" eb="18">
      <t>バアイ</t>
    </rPh>
    <rPh sb="21" eb="23">
      <t>イッパン</t>
    </rPh>
    <rPh sb="23" eb="25">
      <t>カゼイ</t>
    </rPh>
    <rPh sb="25" eb="27">
      <t>ホウシキ</t>
    </rPh>
    <rPh sb="30" eb="32">
      <t>ケイサン</t>
    </rPh>
    <rPh sb="32" eb="34">
      <t>ホウホウ</t>
    </rPh>
    <phoneticPr fontId="2"/>
  </si>
  <si>
    <t>2種類A</t>
    <rPh sb="1" eb="3">
      <t>シュルイ</t>
    </rPh>
    <phoneticPr fontId="2"/>
  </si>
  <si>
    <t>2種類B</t>
    <rPh sb="1" eb="3">
      <t>シュルイ</t>
    </rPh>
    <phoneticPr fontId="2"/>
  </si>
  <si>
    <t>三番目の割合</t>
    <rPh sb="0" eb="3">
      <t>サンバンメ</t>
    </rPh>
    <rPh sb="4" eb="6">
      <t>ワリアイ</t>
    </rPh>
    <phoneticPr fontId="2"/>
  </si>
  <si>
    <t>四番目の割合</t>
    <rPh sb="0" eb="3">
      <t>ヨンバンメ</t>
    </rPh>
    <rPh sb="4" eb="6">
      <t>ワリアイ</t>
    </rPh>
    <phoneticPr fontId="2"/>
  </si>
  <si>
    <t>2種類C</t>
    <rPh sb="1" eb="3">
      <t>シュルイ</t>
    </rPh>
    <phoneticPr fontId="2"/>
  </si>
  <si>
    <t>　　従って今回の納付見込予測額が「簡易課税方式による計算方法」が有利でも、</t>
    <rPh sb="2" eb="3">
      <t>シタガ</t>
    </rPh>
    <rPh sb="5" eb="7">
      <t>コンカイ</t>
    </rPh>
    <rPh sb="8" eb="10">
      <t>ノウフ</t>
    </rPh>
    <rPh sb="10" eb="12">
      <t>ミコ</t>
    </rPh>
    <rPh sb="12" eb="14">
      <t>ヨソク</t>
    </rPh>
    <rPh sb="14" eb="15">
      <t>ガク</t>
    </rPh>
    <rPh sb="17" eb="19">
      <t>カンイ</t>
    </rPh>
    <rPh sb="19" eb="21">
      <t>カゼイ</t>
    </rPh>
    <rPh sb="21" eb="23">
      <t>ホウシキ</t>
    </rPh>
    <rPh sb="26" eb="28">
      <t>ケイサン</t>
    </rPh>
    <rPh sb="28" eb="30">
      <t>ホウホウ</t>
    </rPh>
    <rPh sb="32" eb="34">
      <t>ユウリ</t>
    </rPh>
    <phoneticPr fontId="2"/>
  </si>
  <si>
    <t>来期の消費税については、基準期間（前期）の課税売上高が5,000万円以下のため</t>
    <rPh sb="0" eb="2">
      <t>ライキ</t>
    </rPh>
    <rPh sb="3" eb="6">
      <t>ショウヒゼイ</t>
    </rPh>
    <rPh sb="12" eb="14">
      <t>キジュン</t>
    </rPh>
    <rPh sb="14" eb="16">
      <t>キカン</t>
    </rPh>
    <rPh sb="17" eb="19">
      <t>ゼンキ</t>
    </rPh>
    <rPh sb="21" eb="23">
      <t>カゼイ</t>
    </rPh>
    <rPh sb="23" eb="25">
      <t>ウリアゲ</t>
    </rPh>
    <rPh sb="25" eb="26">
      <t>ダカ</t>
    </rPh>
    <rPh sb="32" eb="36">
      <t>マンエンイカ</t>
    </rPh>
    <phoneticPr fontId="2"/>
  </si>
  <si>
    <t>届出書名</t>
    <rPh sb="0" eb="3">
      <t>トドケデショ</t>
    </rPh>
    <rPh sb="3" eb="4">
      <t>メイ</t>
    </rPh>
    <phoneticPr fontId="2"/>
  </si>
  <si>
    <t>適用期間</t>
    <rPh sb="0" eb="2">
      <t>テキヨウ</t>
    </rPh>
    <rPh sb="2" eb="4">
      <t>キカン</t>
    </rPh>
    <phoneticPr fontId="2"/>
  </si>
  <si>
    <t>基準期間</t>
    <rPh sb="0" eb="2">
      <t>キジュン</t>
    </rPh>
    <rPh sb="2" eb="4">
      <t>キカン</t>
    </rPh>
    <phoneticPr fontId="2"/>
  </si>
  <si>
    <t>役員報酬</t>
  </si>
  <si>
    <t>交際費</t>
  </si>
  <si>
    <t>会議費</t>
  </si>
  <si>
    <t>新聞図書費</t>
  </si>
  <si>
    <t>諸会費</t>
  </si>
  <si>
    <t>車両費</t>
  </si>
  <si>
    <t>受取利息</t>
  </si>
  <si>
    <t>雑収入</t>
  </si>
  <si>
    <t>給料手当</t>
  </si>
  <si>
    <t>賞与</t>
    <rPh sb="0" eb="2">
      <t>ショウヨ</t>
    </rPh>
    <phoneticPr fontId="1"/>
  </si>
  <si>
    <t>退職金</t>
    <rPh sb="0" eb="3">
      <t>タイショクキン</t>
    </rPh>
    <phoneticPr fontId="1"/>
  </si>
  <si>
    <t>法定福利費</t>
    <rPh sb="0" eb="2">
      <t>ホウテイ</t>
    </rPh>
    <rPh sb="2" eb="4">
      <t>フクリ</t>
    </rPh>
    <rPh sb="4" eb="5">
      <t>ヒ</t>
    </rPh>
    <phoneticPr fontId="1"/>
  </si>
  <si>
    <t>外注費</t>
  </si>
  <si>
    <t>事務用品費</t>
  </si>
  <si>
    <t>支払手数料</t>
  </si>
  <si>
    <t>賃借料</t>
  </si>
  <si>
    <t>リース料</t>
  </si>
  <si>
    <t>保険料</t>
  </si>
  <si>
    <t>研究開発費</t>
  </si>
  <si>
    <t>長期前払費用償却</t>
  </si>
  <si>
    <t>顧問料</t>
  </si>
  <si>
    <t>備考</t>
    <rPh sb="0" eb="2">
      <t>ビコウ</t>
    </rPh>
    <phoneticPr fontId="2"/>
  </si>
  <si>
    <t>シミュレーション結果</t>
    <rPh sb="8" eb="10">
      <t>ケッカ</t>
    </rPh>
    <phoneticPr fontId="2"/>
  </si>
  <si>
    <t>基準期間の
課税売上高</t>
    <rPh sb="0" eb="2">
      <t>キジュン</t>
    </rPh>
    <rPh sb="2" eb="4">
      <t>キカン</t>
    </rPh>
    <rPh sb="6" eb="8">
      <t>カゼイ</t>
    </rPh>
    <rPh sb="8" eb="10">
      <t>ウリアゲ</t>
    </rPh>
    <rPh sb="10" eb="11">
      <t>ダカ</t>
    </rPh>
    <phoneticPr fontId="2"/>
  </si>
  <si>
    <t>簡易</t>
    <rPh sb="0" eb="2">
      <t>カンイ</t>
    </rPh>
    <phoneticPr fontId="2"/>
  </si>
  <si>
    <t>一般</t>
    <rPh sb="0" eb="2">
      <t>イッパン</t>
    </rPh>
    <phoneticPr fontId="2"/>
  </si>
  <si>
    <t>株式会社今野デザイン様</t>
    <rPh sb="0" eb="4">
      <t>カブシキガイシャ</t>
    </rPh>
    <rPh sb="4" eb="6">
      <t>コンノ</t>
    </rPh>
    <rPh sb="10" eb="11">
      <t>サマ</t>
    </rPh>
    <phoneticPr fontId="2"/>
  </si>
  <si>
    <t>消費税簡易課税制度選択届出書</t>
    <rPh sb="0" eb="3">
      <t>ショウヒゼイ</t>
    </rPh>
    <rPh sb="3" eb="5">
      <t>カンイ</t>
    </rPh>
    <rPh sb="5" eb="7">
      <t>カゼイ</t>
    </rPh>
    <rPh sb="7" eb="9">
      <t>セイド</t>
    </rPh>
    <rPh sb="9" eb="11">
      <t>センタク</t>
    </rPh>
    <rPh sb="11" eb="14">
      <t>トドケデショ</t>
    </rPh>
    <phoneticPr fontId="2"/>
  </si>
  <si>
    <t>消費税届出書提出履歴管理表</t>
    <rPh sb="0" eb="3">
      <t>ショウヒゼイ</t>
    </rPh>
    <rPh sb="3" eb="6">
      <t>トドケデショ</t>
    </rPh>
    <rPh sb="6" eb="8">
      <t>テイシュツ</t>
    </rPh>
    <rPh sb="8" eb="10">
      <t>リレキ</t>
    </rPh>
    <rPh sb="10" eb="12">
      <t>カンリ</t>
    </rPh>
    <rPh sb="12" eb="13">
      <t>ヒョウ</t>
    </rPh>
    <phoneticPr fontId="2"/>
  </si>
  <si>
    <t>提出日</t>
    <rPh sb="0" eb="2">
      <t>テイシュツ</t>
    </rPh>
    <rPh sb="2" eb="3">
      <t>ビ</t>
    </rPh>
    <phoneticPr fontId="2"/>
  </si>
  <si>
    <t>11/10/01～12/9/30</t>
    <phoneticPr fontId="2"/>
  </si>
  <si>
    <t>現在選択している方法を変更する場合には、期末までに税務署に届出書を提出する</t>
    <rPh sb="0" eb="2">
      <t>ゲンザイ</t>
    </rPh>
    <rPh sb="2" eb="4">
      <t>センタク</t>
    </rPh>
    <rPh sb="8" eb="10">
      <t>ホウホウ</t>
    </rPh>
    <rPh sb="11" eb="13">
      <t>ヘンコウ</t>
    </rPh>
    <rPh sb="15" eb="17">
      <t>バアイ</t>
    </rPh>
    <rPh sb="20" eb="22">
      <t>キマツ</t>
    </rPh>
    <rPh sb="25" eb="28">
      <t>ゼイムショ</t>
    </rPh>
    <phoneticPr fontId="2"/>
  </si>
  <si>
    <t>　　来期多額の固定資産を購入された場合などは不利になる可能性があります。</t>
    <rPh sb="3" eb="4">
      <t>キ</t>
    </rPh>
    <rPh sb="4" eb="6">
      <t>タガク</t>
    </rPh>
    <rPh sb="7" eb="9">
      <t>コテイ</t>
    </rPh>
    <rPh sb="9" eb="11">
      <t>シサン</t>
    </rPh>
    <rPh sb="12" eb="14">
      <t>コウニュウ</t>
    </rPh>
    <rPh sb="17" eb="19">
      <t>バアイ</t>
    </rPh>
    <rPh sb="22" eb="24">
      <t>フリ</t>
    </rPh>
    <rPh sb="27" eb="30">
      <t>カノウセイ</t>
    </rPh>
    <phoneticPr fontId="2"/>
  </si>
  <si>
    <t>を選択します</t>
    <rPh sb="1" eb="3">
      <t>センタク</t>
    </rPh>
    <phoneticPr fontId="2"/>
  </si>
  <si>
    <t>㊞</t>
    <phoneticPr fontId="2"/>
  </si>
  <si>
    <t>09/10/01～10/9/30</t>
    <phoneticPr fontId="2"/>
  </si>
  <si>
    <t>消費税課税事業者届出書</t>
    <rPh sb="0" eb="3">
      <t>ショウヒゼイ</t>
    </rPh>
    <rPh sb="3" eb="5">
      <t>カゼイ</t>
    </rPh>
    <rPh sb="5" eb="8">
      <t>ジギョウシャ</t>
    </rPh>
    <rPh sb="8" eb="11">
      <t>トドケデショ</t>
    </rPh>
    <phoneticPr fontId="2"/>
  </si>
  <si>
    <t>10/11/19</t>
    <phoneticPr fontId="2"/>
  </si>
  <si>
    <t>11/2/18</t>
    <phoneticPr fontId="2"/>
  </si>
  <si>
    <t>保護パスワードは、左の本の背面の</t>
  </si>
  <si>
    <t>２つめのバーコードの数字</t>
  </si>
  <si>
    <t>（1922で始まる１３ケタの数字（半角））</t>
  </si>
  <si>
    <t>になっています。</t>
  </si>
  <si>
    <t>ご活用いただけるようでしたら、ぜひ本書も</t>
  </si>
  <si>
    <t>お求めください。</t>
  </si>
  <si>
    <t>⑥</t>
    <phoneticPr fontId="2"/>
  </si>
  <si>
    <t>第六種（不動産業）</t>
    <rPh sb="0" eb="1">
      <t>ダイ</t>
    </rPh>
    <rPh sb="1" eb="2">
      <t>ロク</t>
    </rPh>
    <rPh sb="2" eb="3">
      <t>シュ</t>
    </rPh>
    <rPh sb="4" eb="7">
      <t>フドウサン</t>
    </rPh>
    <rPh sb="7" eb="8">
      <t>ギョウ</t>
    </rPh>
    <phoneticPr fontId="2"/>
  </si>
  <si>
    <t>（8％課税）</t>
    <rPh sb="3" eb="5">
      <t>カゼイ</t>
    </rPh>
    <phoneticPr fontId="2"/>
  </si>
  <si>
    <t>３種類以上</t>
    <rPh sb="1" eb="5">
      <t>シュルイイジョウ</t>
    </rPh>
    <phoneticPr fontId="2"/>
  </si>
  <si>
    <t>令和２年３月時点</t>
    <rPh sb="0" eb="2">
      <t>レイワ</t>
    </rPh>
    <rPh sb="3" eb="4">
      <t>ネン</t>
    </rPh>
    <rPh sb="5" eb="6">
      <t>ガツ</t>
    </rPh>
    <rPh sb="6" eb="8">
      <t>ジテン</t>
    </rPh>
    <phoneticPr fontId="2"/>
  </si>
  <si>
    <t>課税</t>
  </si>
  <si>
    <t>（10％課税）</t>
    <rPh sb="4" eb="6">
      <t>カゼイ</t>
    </rPh>
    <phoneticPr fontId="2"/>
  </si>
  <si>
    <t>②</t>
  </si>
  <si>
    <t>③</t>
  </si>
  <si>
    <t>④</t>
  </si>
  <si>
    <t>⑤</t>
  </si>
  <si>
    <t>⑥</t>
  </si>
  <si>
    <t>①</t>
  </si>
  <si>
    <t>税率</t>
    <rPh sb="0" eb="2">
      <t>ゼイリツ</t>
    </rPh>
    <phoneticPr fontId="2"/>
  </si>
  <si>
    <t>8%</t>
    <phoneticPr fontId="2"/>
  </si>
  <si>
    <t>10％</t>
    <phoneticPr fontId="2"/>
  </si>
  <si>
    <t>課税売上高</t>
    <rPh sb="0" eb="2">
      <t>カゼイ</t>
    </rPh>
    <rPh sb="2" eb="4">
      <t>ウリアゲ</t>
    </rPh>
    <rPh sb="4" eb="5">
      <t>ダカ</t>
    </rPh>
    <phoneticPr fontId="2"/>
  </si>
  <si>
    <t>①の税抜き額</t>
    <rPh sb="2" eb="4">
      <t>ゼイヌキ</t>
    </rPh>
    <rPh sb="5" eb="6">
      <t>ガク</t>
    </rPh>
    <phoneticPr fontId="2"/>
  </si>
  <si>
    <t>①×7.8％(6.24%)</t>
    <phoneticPr fontId="2"/>
  </si>
  <si>
    <t>合計</t>
    <rPh sb="0" eb="1">
      <t>ゴウケイ</t>
    </rPh>
    <phoneticPr fontId="2"/>
  </si>
  <si>
    <t>消費税　一般課税・簡易課税　有利判定シミュレーション①</t>
    <rPh sb="0" eb="3">
      <t>ショウヒゼイ</t>
    </rPh>
    <rPh sb="4" eb="6">
      <t>イッパン</t>
    </rPh>
    <rPh sb="6" eb="8">
      <t>カゼイ</t>
    </rPh>
    <rPh sb="9" eb="11">
      <t>カンイ</t>
    </rPh>
    <rPh sb="11" eb="13">
      <t>カゼイ</t>
    </rPh>
    <rPh sb="14" eb="16">
      <t>ユウリ</t>
    </rPh>
    <rPh sb="16" eb="18">
      <t>ハンテイ</t>
    </rPh>
    <phoneticPr fontId="4"/>
  </si>
  <si>
    <t>消費税　一般課税・簡易課税　有利判定シミュレーション②</t>
    <rPh sb="0" eb="3">
      <t>ショウヒゼイ</t>
    </rPh>
    <rPh sb="4" eb="6">
      <t>イッパン</t>
    </rPh>
    <rPh sb="6" eb="8">
      <t>カゼイ</t>
    </rPh>
    <rPh sb="9" eb="11">
      <t>カンイ</t>
    </rPh>
    <rPh sb="11" eb="13">
      <t>カゼイ</t>
    </rPh>
    <rPh sb="14" eb="16">
      <t>ユウリ</t>
    </rPh>
    <rPh sb="16" eb="18">
      <t>ハンテイ</t>
    </rPh>
    <phoneticPr fontId="4"/>
  </si>
  <si>
    <t>①の消費税額</t>
    <rPh sb="2" eb="5">
      <t>ショウヒゼイ</t>
    </rPh>
    <rPh sb="5" eb="6">
      <t>ガク</t>
    </rPh>
    <phoneticPr fontId="2"/>
  </si>
  <si>
    <t>地方税納付額（①×22/78）</t>
    <rPh sb="0" eb="3">
      <t>チホウゼイ</t>
    </rPh>
    <rPh sb="3" eb="5">
      <t>ノウフ</t>
    </rPh>
    <rPh sb="5" eb="6">
      <t>ガク</t>
    </rPh>
    <phoneticPr fontId="2"/>
  </si>
  <si>
    <t>合計</t>
    <phoneticPr fontId="2"/>
  </si>
  <si>
    <t>③</t>
    <phoneticPr fontId="2"/>
  </si>
  <si>
    <t>事業別消費税額</t>
    <rPh sb="0" eb="2">
      <t>ジギョウ</t>
    </rPh>
    <rPh sb="2" eb="3">
      <t>ベツ</t>
    </rPh>
    <rPh sb="3" eb="6">
      <t>ショウヒゼイ</t>
    </rPh>
    <rPh sb="6" eb="7">
      <t>ガク</t>
    </rPh>
    <phoneticPr fontId="2"/>
  </si>
  <si>
    <t>8%仕入率</t>
    <rPh sb="2" eb="4">
      <t>シイレ</t>
    </rPh>
    <rPh sb="4" eb="5">
      <t>リツ</t>
    </rPh>
    <phoneticPr fontId="2"/>
  </si>
  <si>
    <t>10%仕入率</t>
    <rPh sb="3" eb="5">
      <t>シイレ</t>
    </rPh>
    <rPh sb="5" eb="6">
      <t>リツ</t>
    </rPh>
    <phoneticPr fontId="2"/>
  </si>
  <si>
    <t>合計仕入率</t>
    <rPh sb="0" eb="2">
      <t>ゴウケイ</t>
    </rPh>
    <rPh sb="2" eb="4">
      <t>シイレ</t>
    </rPh>
    <rPh sb="4" eb="5">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</si>
</sst>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Red]\-#,##0&quot;円&quot;"/>
    <numFmt numFmtId="178" formatCode="#,##0&quot;円&quot;;[Red]\-#,##0&quot;円&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b/>
      <sz val="11"/>
      <name val="ＭＳ Ｐ明朝"/>
      <family val="1"/>
      <charset val="128"/>
    </font>
    <font>
      <u/>
      <sz val="11"/>
      <name val="ＭＳ Ｐ明朝"/>
      <family val="1"/>
      <charset val="128"/>
    </font>
    <font>
      <b/>
      <u/>
      <sz val="20"/>
      <name val="ＭＳ Ｐ明朝"/>
      <family val="1"/>
      <charset val="128"/>
    </font>
    <font>
      <sz val="16"/>
      <name val="ＭＳ Ｐ明朝"/>
      <family val="1"/>
      <charset val="128"/>
    </font>
    <font>
      <b/>
      <u/>
      <sz val="11"/>
      <name val="ＭＳ Ｐ明朝"/>
      <family val="1"/>
      <charset val="128"/>
    </font>
    <font>
      <sz val="22"/>
      <name val="ＭＳ Ｐ明朝"/>
      <family val="1"/>
      <charset val="128"/>
    </font>
    <font>
      <sz val="18"/>
      <name val="ＭＳ Ｐ明朝"/>
      <family val="1"/>
      <charset val="128"/>
    </font>
    <font>
      <u/>
      <sz val="18"/>
      <name val="ＭＳ Ｐ明朝"/>
      <family val="1"/>
      <charset val="128"/>
    </font>
    <font>
      <sz val="10"/>
      <name val="ＭＳ Ｐ明朝"/>
      <family val="1"/>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9">
    <xf numFmtId="0" fontId="0" fillId="0" borderId="0"/>
    <xf numFmtId="9" fontId="14" fillId="0" borderId="0" applyFont="0" applyFill="0" applyBorder="0" applyAlignment="0" applyProtection="0">
      <alignment vertical="center"/>
    </xf>
    <xf numFmtId="9" fontId="3"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3" fillId="0" borderId="0"/>
    <xf numFmtId="0" fontId="1" fillId="0" borderId="0"/>
    <xf numFmtId="0" fontId="1" fillId="0" borderId="0"/>
    <xf numFmtId="0" fontId="3" fillId="0" borderId="0"/>
  </cellStyleXfs>
  <cellXfs count="235">
    <xf numFmtId="0" fontId="0" fillId="0" borderId="0" xfId="0"/>
    <xf numFmtId="38" fontId="3" fillId="0" borderId="1" xfId="4" applyFont="1" applyFill="1" applyBorder="1" applyProtection="1">
      <protection hidden="1"/>
    </xf>
    <xf numFmtId="0" fontId="6" fillId="2" borderId="0" xfId="0" applyFont="1" applyFill="1" applyAlignment="1" applyProtection="1">
      <alignment horizontal="right"/>
      <protection hidden="1"/>
    </xf>
    <xf numFmtId="0" fontId="3" fillId="0" borderId="1" xfId="8" applyFill="1" applyBorder="1" applyProtection="1"/>
    <xf numFmtId="0" fontId="3" fillId="2" borderId="0" xfId="0" applyFont="1" applyFill="1" applyProtection="1">
      <protection hidden="1"/>
    </xf>
    <xf numFmtId="0" fontId="3" fillId="0" borderId="1" xfId="8" applyFont="1" applyFill="1" applyBorder="1" applyProtection="1"/>
    <xf numFmtId="0" fontId="3" fillId="0" borderId="1" xfId="8" applyFont="1" applyFill="1" applyBorder="1" applyAlignment="1" applyProtection="1">
      <alignment horizontal="center"/>
      <protection hidden="1"/>
    </xf>
    <xf numFmtId="38" fontId="3" fillId="0" borderId="1" xfId="8" applyNumberFormat="1" applyFont="1" applyFill="1" applyBorder="1" applyProtection="1">
      <protection hidden="1"/>
    </xf>
    <xf numFmtId="38" fontId="3" fillId="0" borderId="1" xfId="3" applyFont="1" applyFill="1" applyBorder="1" applyProtection="1">
      <protection hidden="1"/>
    </xf>
    <xf numFmtId="0" fontId="3" fillId="0" borderId="1" xfId="8" applyFont="1" applyFill="1" applyBorder="1" applyAlignment="1" applyProtection="1">
      <alignment horizontal="center" shrinkToFit="1"/>
      <protection hidden="1"/>
    </xf>
    <xf numFmtId="0" fontId="8" fillId="2" borderId="0" xfId="0" applyFont="1" applyFill="1" applyProtection="1">
      <protection hidden="1"/>
    </xf>
    <xf numFmtId="0" fontId="3" fillId="2" borderId="0" xfId="0" applyFont="1" applyFill="1"/>
    <xf numFmtId="0" fontId="8" fillId="2" borderId="0" xfId="0" applyFont="1" applyFill="1" applyAlignment="1" applyProtection="1">
      <alignment horizontal="left"/>
      <protection hidden="1"/>
    </xf>
    <xf numFmtId="0" fontId="3" fillId="2" borderId="1" xfId="0" applyFont="1" applyFill="1" applyBorder="1"/>
    <xf numFmtId="38" fontId="3" fillId="2" borderId="1" xfId="3" applyFont="1" applyFill="1" applyBorder="1" applyProtection="1">
      <protection hidden="1"/>
    </xf>
    <xf numFmtId="38" fontId="3" fillId="2" borderId="1" xfId="3" applyFont="1" applyFill="1" applyBorder="1" applyAlignment="1" applyProtection="1">
      <alignment horizontal="right"/>
      <protection hidden="1"/>
    </xf>
    <xf numFmtId="0" fontId="3" fillId="2" borderId="0" xfId="8" applyFont="1" applyFill="1" applyBorder="1" applyAlignment="1" applyProtection="1">
      <alignment horizontal="center"/>
      <protection hidden="1"/>
    </xf>
    <xf numFmtId="38" fontId="3" fillId="2" borderId="1" xfId="8" applyNumberFormat="1" applyFont="1" applyFill="1" applyBorder="1" applyProtection="1">
      <protection hidden="1"/>
    </xf>
    <xf numFmtId="38" fontId="3" fillId="2" borderId="0" xfId="3" applyFont="1" applyFill="1" applyBorder="1" applyAlignment="1" applyProtection="1">
      <alignment horizontal="center"/>
      <protection hidden="1"/>
    </xf>
    <xf numFmtId="0" fontId="3" fillId="2" borderId="1" xfId="8" applyFont="1" applyFill="1" applyBorder="1" applyAlignment="1" applyProtection="1">
      <alignment horizontal="center" shrinkToFit="1"/>
      <protection hidden="1"/>
    </xf>
    <xf numFmtId="38" fontId="5" fillId="2" borderId="0" xfId="3" applyFont="1" applyFill="1" applyBorder="1" applyProtection="1">
      <protection hidden="1"/>
    </xf>
    <xf numFmtId="38" fontId="3" fillId="2" borderId="0" xfId="8" applyNumberFormat="1" applyFont="1" applyFill="1" applyBorder="1" applyProtection="1">
      <protection hidden="1"/>
    </xf>
    <xf numFmtId="38" fontId="3" fillId="2" borderId="1" xfId="8" applyNumberFormat="1" applyFont="1" applyFill="1" applyBorder="1" applyAlignment="1" applyProtection="1">
      <alignment horizontal="right"/>
      <protection hidden="1"/>
    </xf>
    <xf numFmtId="38" fontId="3" fillId="2" borderId="1" xfId="4" applyFont="1" applyFill="1" applyBorder="1" applyAlignment="1" applyProtection="1">
      <alignment horizontal="right"/>
      <protection hidden="1"/>
    </xf>
    <xf numFmtId="38" fontId="3" fillId="2" borderId="0" xfId="4" applyFont="1" applyFill="1" applyBorder="1" applyProtection="1">
      <protection hidden="1"/>
    </xf>
    <xf numFmtId="0" fontId="3" fillId="0" borderId="0" xfId="0" applyFont="1"/>
    <xf numFmtId="0" fontId="11" fillId="2" borderId="0" xfId="0" applyFont="1" applyFill="1"/>
    <xf numFmtId="0" fontId="3" fillId="2" borderId="1" xfId="0" applyFont="1" applyFill="1" applyBorder="1" applyAlignment="1">
      <alignment horizontal="center" shrinkToFit="1"/>
    </xf>
    <xf numFmtId="49" fontId="13" fillId="2" borderId="1" xfId="0" applyNumberFormat="1" applyFont="1" applyFill="1" applyBorder="1" applyAlignment="1">
      <alignment horizontal="center" shrinkToFit="1"/>
    </xf>
    <xf numFmtId="0" fontId="13" fillId="2" borderId="1" xfId="0" applyFont="1" applyFill="1" applyBorder="1" applyAlignment="1">
      <alignment horizontal="center" wrapText="1"/>
    </xf>
    <xf numFmtId="178" fontId="3" fillId="2" borderId="1" xfId="3" applyNumberFormat="1" applyFont="1" applyFill="1" applyBorder="1" applyAlignment="1">
      <alignment shrinkToFit="1"/>
    </xf>
    <xf numFmtId="177" fontId="3" fillId="2" borderId="1" xfId="3" applyNumberFormat="1" applyFont="1" applyFill="1" applyBorder="1" applyAlignment="1"/>
    <xf numFmtId="38" fontId="3" fillId="0" borderId="1" xfId="8" applyNumberFormat="1" applyFont="1" applyFill="1" applyBorder="1" applyAlignment="1" applyProtection="1">
      <alignment horizontal="right"/>
      <protection hidden="1"/>
    </xf>
    <xf numFmtId="38" fontId="3" fillId="0" borderId="1" xfId="8" applyNumberFormat="1" applyFont="1" applyFill="1" applyBorder="1" applyAlignment="1" applyProtection="1">
      <protection hidden="1"/>
    </xf>
    <xf numFmtId="38" fontId="3" fillId="0" borderId="0" xfId="8" quotePrefix="1" applyNumberFormat="1" applyFont="1" applyFill="1" applyBorder="1" applyAlignment="1" applyProtection="1">
      <alignment horizontal="center"/>
      <protection hidden="1"/>
    </xf>
    <xf numFmtId="9" fontId="3" fillId="4" borderId="4" xfId="8" quotePrefix="1" applyNumberFormat="1" applyFont="1" applyFill="1" applyBorder="1" applyAlignment="1" applyProtection="1">
      <alignment horizontal="center"/>
      <protection hidden="1"/>
    </xf>
    <xf numFmtId="38" fontId="3" fillId="4" borderId="4" xfId="8" quotePrefix="1" applyNumberFormat="1" applyFont="1" applyFill="1" applyBorder="1" applyAlignment="1" applyProtection="1">
      <alignment horizontal="center"/>
      <protection hidden="1"/>
    </xf>
    <xf numFmtId="38" fontId="3" fillId="4" borderId="1" xfId="8" quotePrefix="1" applyNumberFormat="1" applyFont="1" applyFill="1" applyBorder="1" applyAlignment="1" applyProtection="1">
      <alignment horizontal="center"/>
      <protection hidden="1"/>
    </xf>
    <xf numFmtId="9" fontId="3" fillId="4" borderId="1" xfId="8" quotePrefix="1" applyNumberFormat="1" applyFont="1" applyFill="1" applyBorder="1" applyAlignment="1" applyProtection="1">
      <alignment horizontal="center"/>
      <protection hidden="1"/>
    </xf>
    <xf numFmtId="38" fontId="3" fillId="2" borderId="1" xfId="8" applyNumberFormat="1" applyFont="1" applyFill="1" applyBorder="1" applyAlignment="1" applyProtection="1">
      <protection hidden="1"/>
    </xf>
    <xf numFmtId="38" fontId="3" fillId="2" borderId="1" xfId="3" applyFont="1" applyFill="1" applyBorder="1" applyAlignment="1" applyProtection="1">
      <protection hidden="1"/>
    </xf>
    <xf numFmtId="38" fontId="3" fillId="2" borderId="1" xfId="8" applyNumberFormat="1" applyFont="1" applyFill="1" applyBorder="1" applyAlignment="1" applyProtection="1">
      <alignment vertical="center"/>
      <protection hidden="1"/>
    </xf>
    <xf numFmtId="38" fontId="3" fillId="2" borderId="1" xfId="8" applyNumberFormat="1" applyFont="1" applyFill="1" applyBorder="1" applyAlignment="1" applyProtection="1">
      <alignment horizontal="right" vertical="center"/>
      <protection hidden="1"/>
    </xf>
    <xf numFmtId="38" fontId="3" fillId="0" borderId="0" xfId="8" applyNumberFormat="1" applyFont="1" applyFill="1" applyBorder="1" applyAlignment="1" applyProtection="1">
      <protection hidden="1"/>
    </xf>
    <xf numFmtId="38" fontId="3" fillId="0" borderId="1" xfId="3" applyFont="1" applyFill="1" applyBorder="1" applyAlignment="1" applyProtection="1">
      <alignment horizontal="right"/>
      <protection hidden="1"/>
    </xf>
    <xf numFmtId="38" fontId="3" fillId="0" borderId="1" xfId="3" applyFont="1" applyFill="1" applyBorder="1" applyAlignment="1" applyProtection="1">
      <protection hidden="1"/>
    </xf>
    <xf numFmtId="0" fontId="3" fillId="0" borderId="0" xfId="8" applyFont="1" applyFill="1" applyBorder="1" applyAlignment="1" applyProtection="1">
      <alignment horizontal="center" vertical="center" shrinkToFit="1"/>
      <protection hidden="1"/>
    </xf>
    <xf numFmtId="38" fontId="3" fillId="2" borderId="1" xfId="3" applyFont="1" applyFill="1" applyBorder="1" applyAlignment="1" applyProtection="1">
      <alignment horizontal="right" shrinkToFit="1"/>
      <protection hidden="1"/>
    </xf>
    <xf numFmtId="0" fontId="10" fillId="2" borderId="0" xfId="0" applyFont="1" applyFill="1" applyAlignment="1" applyProtection="1">
      <alignment horizontal="left"/>
      <protection hidden="1"/>
    </xf>
    <xf numFmtId="0" fontId="7" fillId="2" borderId="0" xfId="0" applyFont="1" applyFill="1" applyAlignment="1" applyProtection="1">
      <alignment horizontal="center"/>
      <protection hidden="1"/>
    </xf>
    <xf numFmtId="0" fontId="3" fillId="2" borderId="1" xfId="8" applyFont="1" applyFill="1" applyBorder="1" applyAlignment="1" applyProtection="1">
      <alignment horizontal="center"/>
      <protection hidden="1"/>
    </xf>
    <xf numFmtId="0" fontId="3" fillId="2" borderId="0" xfId="0" applyFont="1" applyFill="1" applyProtection="1"/>
    <xf numFmtId="38" fontId="3" fillId="2" borderId="0" xfId="3" applyFont="1" applyFill="1" applyAlignment="1" applyProtection="1">
      <alignment horizontal="center"/>
    </xf>
    <xf numFmtId="38" fontId="3" fillId="2" borderId="0" xfId="3" applyFont="1" applyFill="1" applyProtection="1"/>
    <xf numFmtId="0" fontId="3" fillId="0" borderId="0" xfId="0" applyFont="1" applyFill="1" applyProtection="1"/>
    <xf numFmtId="38" fontId="9" fillId="2" borderId="0" xfId="3" applyFont="1" applyFill="1" applyBorder="1" applyAlignment="1" applyProtection="1">
      <alignment horizontal="center" vertical="center"/>
    </xf>
    <xf numFmtId="38" fontId="9" fillId="0" borderId="0" xfId="3" applyFont="1" applyFill="1" applyBorder="1" applyAlignment="1" applyProtection="1">
      <alignment vertical="center"/>
    </xf>
    <xf numFmtId="38" fontId="3" fillId="0" borderId="0" xfId="3" applyFont="1" applyFill="1" applyProtection="1"/>
    <xf numFmtId="0" fontId="3" fillId="0" borderId="1" xfId="0" applyFont="1" applyFill="1" applyBorder="1" applyAlignment="1" applyProtection="1"/>
    <xf numFmtId="38" fontId="3" fillId="0" borderId="1" xfId="3" applyFont="1" applyFill="1" applyBorder="1" applyAlignment="1" applyProtection="1">
      <alignment horizontal="center"/>
    </xf>
    <xf numFmtId="0" fontId="3" fillId="4" borderId="2"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1" xfId="0" applyFont="1" applyFill="1" applyBorder="1" applyAlignment="1" applyProtection="1">
      <alignment horizontal="center"/>
    </xf>
    <xf numFmtId="38" fontId="3" fillId="4" borderId="4" xfId="3" applyFont="1" applyFill="1" applyBorder="1" applyAlignment="1" applyProtection="1">
      <alignment horizontal="center" vertical="center" wrapText="1" shrinkToFit="1"/>
    </xf>
    <xf numFmtId="38" fontId="3" fillId="4" borderId="5" xfId="3" applyFont="1" applyFill="1" applyBorder="1" applyAlignment="1" applyProtection="1">
      <alignment horizontal="center" vertical="center" wrapText="1" shrinkToFit="1"/>
    </xf>
    <xf numFmtId="38" fontId="3" fillId="2" borderId="0" xfId="3" applyFont="1" applyFill="1" applyBorder="1" applyAlignment="1" applyProtection="1">
      <alignment horizontal="center"/>
    </xf>
    <xf numFmtId="0" fontId="3" fillId="0" borderId="1" xfId="0" applyNumberFormat="1" applyFont="1" applyFill="1" applyBorder="1" applyProtection="1"/>
    <xf numFmtId="38" fontId="3" fillId="0" borderId="6" xfId="3" applyFont="1" applyFill="1" applyBorder="1" applyProtection="1"/>
    <xf numFmtId="38" fontId="3" fillId="4" borderId="0" xfId="3" applyFont="1" applyFill="1" applyBorder="1" applyAlignment="1" applyProtection="1">
      <alignment horizontal="center"/>
    </xf>
    <xf numFmtId="38" fontId="3" fillId="0" borderId="1" xfId="3" applyFont="1" applyFill="1" applyBorder="1" applyAlignment="1" applyProtection="1">
      <alignment horizontal="right"/>
    </xf>
    <xf numFmtId="38" fontId="3" fillId="5" borderId="1" xfId="3" applyFont="1" applyFill="1" applyBorder="1" applyProtection="1"/>
    <xf numFmtId="0" fontId="3" fillId="0" borderId="2" xfId="0" applyNumberFormat="1" applyFont="1" applyFill="1" applyBorder="1" applyProtection="1"/>
    <xf numFmtId="38" fontId="3" fillId="0" borderId="3" xfId="3" applyFont="1" applyFill="1" applyBorder="1" applyProtection="1"/>
    <xf numFmtId="38" fontId="3" fillId="0" borderId="1" xfId="3" applyFont="1" applyFill="1" applyBorder="1" applyAlignment="1" applyProtection="1"/>
    <xf numFmtId="176" fontId="3" fillId="0" borderId="1" xfId="1" applyNumberFormat="1" applyFont="1" applyFill="1" applyBorder="1" applyAlignment="1" applyProtection="1"/>
    <xf numFmtId="38" fontId="3" fillId="0" borderId="1" xfId="3" applyFont="1" applyFill="1" applyBorder="1" applyProtection="1"/>
    <xf numFmtId="40" fontId="3" fillId="0" borderId="1" xfId="3" applyNumberFormat="1" applyFont="1" applyFill="1" applyBorder="1" applyProtection="1"/>
    <xf numFmtId="38" fontId="3" fillId="0" borderId="0" xfId="3" applyFont="1" applyFill="1" applyAlignment="1" applyProtection="1"/>
    <xf numFmtId="176" fontId="3" fillId="0" borderId="0" xfId="1" applyNumberFormat="1" applyFont="1" applyFill="1" applyAlignment="1" applyProtection="1"/>
    <xf numFmtId="38" fontId="3" fillId="0" borderId="0" xfId="3" applyNumberFormat="1" applyFont="1" applyFill="1" applyAlignment="1" applyProtection="1"/>
    <xf numFmtId="10" fontId="3" fillId="0" borderId="0" xfId="1" applyNumberFormat="1" applyFont="1" applyFill="1" applyAlignment="1" applyProtection="1"/>
    <xf numFmtId="38" fontId="3" fillId="2" borderId="1" xfId="3" applyFont="1" applyFill="1" applyBorder="1" applyAlignment="1" applyProtection="1">
      <alignment horizontal="center"/>
    </xf>
    <xf numFmtId="38" fontId="3" fillId="2" borderId="1" xfId="3" applyFont="1" applyFill="1" applyBorder="1" applyAlignment="1" applyProtection="1">
      <alignment horizontal="right"/>
    </xf>
    <xf numFmtId="0" fontId="3" fillId="0" borderId="7" xfId="0" applyFont="1" applyFill="1" applyBorder="1" applyAlignment="1" applyProtection="1">
      <alignment horizontal="center" vertical="distributed" textRotation="255"/>
    </xf>
    <xf numFmtId="38" fontId="5" fillId="0" borderId="8" xfId="3" applyFont="1" applyFill="1" applyBorder="1" applyAlignment="1" applyProtection="1">
      <alignment horizontal="right"/>
    </xf>
    <xf numFmtId="0" fontId="3" fillId="0" borderId="8" xfId="0" applyNumberFormat="1" applyFont="1" applyFill="1" applyBorder="1" applyProtection="1"/>
    <xf numFmtId="38" fontId="3" fillId="0" borderId="8" xfId="3" applyFont="1" applyFill="1" applyBorder="1" applyProtection="1"/>
    <xf numFmtId="38" fontId="3" fillId="0" borderId="9" xfId="3" applyFont="1" applyFill="1" applyBorder="1" applyProtection="1"/>
    <xf numFmtId="38" fontId="3" fillId="0" borderId="17" xfId="3" applyFont="1" applyFill="1" applyBorder="1" applyProtection="1"/>
    <xf numFmtId="38" fontId="3" fillId="0" borderId="0" xfId="3" applyFont="1" applyFill="1" applyAlignment="1" applyProtection="1">
      <alignment horizontal="right"/>
    </xf>
    <xf numFmtId="0" fontId="3" fillId="0" borderId="10" xfId="0" applyFont="1" applyFill="1" applyBorder="1" applyProtection="1"/>
    <xf numFmtId="0" fontId="3" fillId="0" borderId="11" xfId="0" applyNumberFormat="1" applyFont="1" applyFill="1" applyBorder="1" applyProtection="1"/>
    <xf numFmtId="38" fontId="3" fillId="2" borderId="1" xfId="3" applyFont="1" applyFill="1" applyBorder="1" applyAlignment="1" applyProtection="1"/>
    <xf numFmtId="176" fontId="3" fillId="2" borderId="1" xfId="1" applyNumberFormat="1" applyFont="1" applyFill="1" applyBorder="1" applyAlignment="1" applyProtection="1"/>
    <xf numFmtId="0" fontId="3" fillId="0" borderId="7" xfId="0" applyFont="1" applyFill="1" applyBorder="1" applyProtection="1"/>
    <xf numFmtId="49" fontId="5" fillId="0" borderId="8" xfId="0" applyNumberFormat="1" applyFont="1" applyFill="1" applyBorder="1" applyAlignment="1" applyProtection="1">
      <alignment horizontal="right"/>
    </xf>
    <xf numFmtId="176" fontId="3" fillId="2" borderId="0" xfId="1" applyNumberFormat="1" applyFont="1" applyFill="1" applyBorder="1" applyAlignment="1" applyProtection="1"/>
    <xf numFmtId="3" fontId="3" fillId="0" borderId="4" xfId="0" applyNumberFormat="1" applyFont="1" applyFill="1" applyBorder="1" applyProtection="1"/>
    <xf numFmtId="38" fontId="3" fillId="0" borderId="5" xfId="3" applyFont="1" applyFill="1" applyBorder="1" applyProtection="1"/>
    <xf numFmtId="3" fontId="3" fillId="0" borderId="1" xfId="0" applyNumberFormat="1" applyFont="1" applyFill="1" applyBorder="1" applyProtection="1"/>
    <xf numFmtId="38" fontId="3" fillId="0" borderId="0" xfId="3" applyFont="1" applyFill="1" applyAlignment="1" applyProtection="1">
      <alignment horizontal="center"/>
    </xf>
    <xf numFmtId="38" fontId="3" fillId="2" borderId="1" xfId="3" applyFont="1" applyFill="1" applyBorder="1" applyProtection="1"/>
    <xf numFmtId="0" fontId="3" fillId="0" borderId="4" xfId="0" applyNumberFormat="1" applyFont="1" applyFill="1" applyBorder="1" applyProtection="1"/>
    <xf numFmtId="38" fontId="3" fillId="2" borderId="0" xfId="3" applyFont="1" applyFill="1" applyBorder="1" applyProtection="1"/>
    <xf numFmtId="3" fontId="3" fillId="0" borderId="2" xfId="0" applyNumberFormat="1" applyFont="1" applyFill="1" applyBorder="1" applyProtection="1"/>
    <xf numFmtId="49" fontId="5" fillId="0" borderId="12" xfId="0" applyNumberFormat="1" applyFont="1" applyFill="1" applyBorder="1" applyAlignment="1" applyProtection="1">
      <alignment horizontal="right"/>
    </xf>
    <xf numFmtId="38" fontId="3" fillId="0" borderId="16" xfId="3" applyFont="1" applyFill="1" applyBorder="1" applyProtection="1"/>
    <xf numFmtId="38" fontId="3" fillId="0" borderId="15" xfId="3" applyFont="1" applyFill="1" applyBorder="1" applyAlignment="1" applyProtection="1">
      <alignment horizontal="center"/>
    </xf>
    <xf numFmtId="38" fontId="3" fillId="2" borderId="1" xfId="3" applyFont="1" applyFill="1" applyBorder="1" applyAlignment="1" applyProtection="1">
      <alignment horizontal="center" vertical="center"/>
    </xf>
    <xf numFmtId="38" fontId="9" fillId="2" borderId="0" xfId="3" applyFont="1" applyFill="1" applyAlignment="1" applyProtection="1">
      <alignment horizontal="left"/>
    </xf>
    <xf numFmtId="38" fontId="9" fillId="2" borderId="0" xfId="3" applyFont="1" applyFill="1" applyAlignment="1" applyProtection="1">
      <alignment horizontal="center"/>
    </xf>
    <xf numFmtId="0" fontId="5" fillId="2" borderId="0" xfId="0" applyFont="1" applyFill="1" applyProtection="1"/>
    <xf numFmtId="38" fontId="1" fillId="2" borderId="0" xfId="3" applyFont="1" applyFill="1" applyProtection="1"/>
    <xf numFmtId="38" fontId="1" fillId="2" borderId="0" xfId="3" applyFont="1" applyFill="1" applyAlignment="1" applyProtection="1">
      <alignment horizontal="center"/>
    </xf>
    <xf numFmtId="0" fontId="0" fillId="2" borderId="0" xfId="0" applyFont="1" applyFill="1" applyProtection="1"/>
    <xf numFmtId="0" fontId="0" fillId="0" borderId="0" xfId="0" applyFont="1" applyFill="1" applyProtection="1"/>
    <xf numFmtId="38" fontId="3" fillId="0" borderId="0" xfId="3" applyFont="1" applyFill="1" applyBorder="1" applyAlignment="1" applyProtection="1">
      <alignment horizontal="right" shrinkToFit="1"/>
    </xf>
    <xf numFmtId="38" fontId="3" fillId="0" borderId="19" xfId="3" applyFont="1" applyFill="1" applyBorder="1" applyProtection="1"/>
    <xf numFmtId="38" fontId="3" fillId="2" borderId="21" xfId="3" applyFont="1" applyFill="1" applyBorder="1" applyAlignment="1" applyProtection="1">
      <alignment horizontal="right"/>
    </xf>
    <xf numFmtId="0" fontId="3" fillId="2" borderId="13" xfId="0" applyFont="1" applyFill="1" applyBorder="1" applyProtection="1"/>
    <xf numFmtId="38" fontId="3" fillId="2" borderId="20" xfId="3" applyFont="1" applyFill="1" applyBorder="1" applyProtection="1"/>
    <xf numFmtId="38" fontId="1" fillId="2" borderId="24" xfId="3" applyFont="1" applyFill="1" applyBorder="1" applyAlignment="1" applyProtection="1">
      <alignment horizontal="center"/>
    </xf>
    <xf numFmtId="38" fontId="1" fillId="2" borderId="24" xfId="3" applyFont="1" applyFill="1" applyBorder="1" applyProtection="1"/>
    <xf numFmtId="38" fontId="1" fillId="2" borderId="0" xfId="3" applyFont="1" applyFill="1" applyAlignment="1" applyProtection="1">
      <alignment horizontal="left"/>
    </xf>
    <xf numFmtId="0" fontId="3" fillId="2" borderId="1" xfId="0" applyFont="1" applyFill="1" applyBorder="1" applyProtection="1"/>
    <xf numFmtId="38" fontId="3" fillId="2" borderId="6" xfId="3" applyFont="1" applyFill="1" applyBorder="1" applyProtection="1"/>
    <xf numFmtId="0" fontId="3" fillId="2" borderId="14" xfId="0" applyFont="1" applyFill="1" applyBorder="1" applyProtection="1"/>
    <xf numFmtId="38" fontId="3" fillId="2" borderId="18" xfId="3" applyFont="1" applyFill="1" applyBorder="1" applyProtection="1"/>
    <xf numFmtId="0" fontId="0" fillId="2" borderId="24" xfId="0" applyFill="1" applyBorder="1" applyAlignment="1" applyProtection="1">
      <alignment horizontal="right"/>
    </xf>
    <xf numFmtId="0" fontId="0" fillId="2" borderId="0" xfId="0" applyFill="1" applyBorder="1" applyAlignment="1" applyProtection="1">
      <alignment horizontal="right"/>
    </xf>
    <xf numFmtId="38" fontId="0" fillId="0" borderId="0" xfId="3" applyFont="1" applyFill="1" applyProtection="1"/>
    <xf numFmtId="38" fontId="0" fillId="0" borderId="0" xfId="3" applyFont="1" applyFill="1" applyAlignment="1" applyProtection="1">
      <alignment horizontal="center"/>
    </xf>
    <xf numFmtId="0" fontId="3" fillId="2" borderId="0" xfId="5" applyFill="1" applyProtection="1"/>
    <xf numFmtId="49" fontId="3" fillId="3" borderId="1" xfId="0" applyNumberFormat="1" applyFont="1" applyFill="1" applyBorder="1" applyProtection="1">
      <protection locked="0"/>
    </xf>
    <xf numFmtId="49" fontId="3" fillId="3" borderId="2" xfId="0" applyNumberFormat="1" applyFont="1" applyFill="1" applyBorder="1" applyProtection="1">
      <protection locked="0"/>
    </xf>
    <xf numFmtId="38" fontId="3" fillId="3" borderId="1" xfId="3" applyFont="1" applyFill="1" applyBorder="1" applyProtection="1">
      <protection locked="0"/>
    </xf>
    <xf numFmtId="38" fontId="3" fillId="3" borderId="6" xfId="3" applyFont="1" applyFill="1" applyBorder="1" applyProtection="1">
      <protection locked="0"/>
    </xf>
    <xf numFmtId="38" fontId="3" fillId="3" borderId="2" xfId="3" applyFont="1" applyFill="1" applyBorder="1" applyProtection="1">
      <protection locked="0"/>
    </xf>
    <xf numFmtId="38" fontId="3" fillId="3" borderId="3" xfId="3" applyFont="1" applyFill="1" applyBorder="1" applyProtection="1">
      <protection locked="0"/>
    </xf>
    <xf numFmtId="49" fontId="3" fillId="3" borderId="11" xfId="0" applyNumberFormat="1" applyFont="1" applyFill="1" applyBorder="1" applyProtection="1">
      <protection locked="0"/>
    </xf>
    <xf numFmtId="49" fontId="3" fillId="3" borderId="4" xfId="0" applyNumberFormat="1" applyFont="1" applyFill="1" applyBorder="1" applyProtection="1">
      <protection locked="0"/>
    </xf>
    <xf numFmtId="49" fontId="3" fillId="3" borderId="4" xfId="7" applyNumberFormat="1" applyFont="1" applyFill="1" applyBorder="1" applyProtection="1">
      <protection locked="0"/>
    </xf>
    <xf numFmtId="49" fontId="3" fillId="3" borderId="4" xfId="0" applyNumberFormat="1" applyFont="1" applyFill="1" applyBorder="1" applyAlignment="1" applyProtection="1">
      <alignment horizontal="left"/>
      <protection locked="0"/>
    </xf>
    <xf numFmtId="49" fontId="3" fillId="3" borderId="1" xfId="0" applyNumberFormat="1" applyFont="1" applyFill="1" applyBorder="1" applyAlignment="1" applyProtection="1">
      <alignment horizontal="left"/>
      <protection locked="0"/>
    </xf>
    <xf numFmtId="49" fontId="3" fillId="3" borderId="2" xfId="0" applyNumberFormat="1" applyFont="1" applyFill="1" applyBorder="1" applyAlignment="1" applyProtection="1">
      <alignment horizontal="left"/>
      <protection locked="0"/>
    </xf>
    <xf numFmtId="38" fontId="3" fillId="3" borderId="4" xfId="3" applyFont="1" applyFill="1" applyBorder="1" applyProtection="1">
      <protection locked="0"/>
    </xf>
    <xf numFmtId="38" fontId="3" fillId="3" borderId="5" xfId="3" applyFont="1" applyFill="1" applyBorder="1" applyProtection="1">
      <protection locked="0"/>
    </xf>
    <xf numFmtId="38" fontId="3" fillId="3" borderId="22" xfId="3" applyFont="1" applyFill="1" applyBorder="1" applyAlignment="1" applyProtection="1">
      <alignment horizontal="center"/>
      <protection locked="0"/>
    </xf>
    <xf numFmtId="38" fontId="3" fillId="3" borderId="23" xfId="3" applyFont="1" applyFill="1" applyBorder="1" applyAlignment="1" applyProtection="1">
      <alignment horizontal="center"/>
      <protection locked="0"/>
    </xf>
    <xf numFmtId="38" fontId="3" fillId="3" borderId="1" xfId="4" applyFont="1" applyFill="1" applyBorder="1" applyProtection="1">
      <protection locked="0" hidden="1"/>
    </xf>
    <xf numFmtId="38" fontId="3" fillId="3" borderId="1" xfId="8" applyNumberFormat="1" applyFont="1" applyFill="1" applyBorder="1" applyAlignment="1" applyProtection="1">
      <alignment horizontal="right"/>
      <protection locked="0" hidden="1"/>
    </xf>
    <xf numFmtId="38" fontId="3" fillId="3" borderId="1" xfId="4" applyFont="1" applyFill="1" applyBorder="1" applyAlignment="1" applyProtection="1">
      <alignment horizontal="right"/>
      <protection locked="0" hidden="1"/>
    </xf>
    <xf numFmtId="38" fontId="3" fillId="3" borderId="1" xfId="3" applyFont="1" applyFill="1" applyBorder="1" applyAlignment="1" applyProtection="1">
      <alignment horizontal="right"/>
      <protection locked="0" hidden="1"/>
    </xf>
    <xf numFmtId="0" fontId="3" fillId="3" borderId="1" xfId="0" applyFont="1" applyFill="1" applyBorder="1" applyProtection="1">
      <protection locked="0"/>
    </xf>
    <xf numFmtId="0" fontId="3" fillId="3" borderId="1" xfId="8" applyFont="1" applyFill="1" applyBorder="1" applyProtection="1">
      <protection locked="0"/>
    </xf>
    <xf numFmtId="38" fontId="3" fillId="0" borderId="0" xfId="3" applyFont="1" applyFill="1" applyAlignment="1" applyProtection="1">
      <alignment horizontal="center"/>
    </xf>
    <xf numFmtId="38" fontId="3" fillId="4" borderId="1" xfId="3" applyFont="1" applyFill="1" applyBorder="1" applyAlignment="1" applyProtection="1">
      <alignment horizontal="center"/>
    </xf>
    <xf numFmtId="38" fontId="3" fillId="5" borderId="1" xfId="3" applyFont="1" applyFill="1" applyBorder="1" applyAlignment="1" applyProtection="1">
      <alignment horizontal="center"/>
    </xf>
    <xf numFmtId="0" fontId="3" fillId="4" borderId="1" xfId="8" applyFont="1" applyFill="1" applyBorder="1" applyAlignment="1" applyProtection="1">
      <alignment horizontal="center" vertical="center" shrinkToFit="1"/>
      <protection hidden="1"/>
    </xf>
    <xf numFmtId="0" fontId="3" fillId="2" borderId="1" xfId="8" applyFont="1" applyFill="1" applyBorder="1" applyAlignment="1" applyProtection="1">
      <alignment horizontal="center"/>
      <protection hidden="1"/>
    </xf>
    <xf numFmtId="38" fontId="3" fillId="4" borderId="5" xfId="3" applyFont="1" applyFill="1" applyBorder="1" applyAlignment="1" applyProtection="1">
      <alignment horizontal="center"/>
    </xf>
    <xf numFmtId="38" fontId="3" fillId="4" borderId="51" xfId="3" applyFont="1" applyFill="1" applyBorder="1" applyAlignment="1" applyProtection="1">
      <alignment horizontal="center"/>
    </xf>
    <xf numFmtId="38" fontId="3" fillId="4" borderId="2" xfId="3" applyFont="1" applyFill="1" applyBorder="1" applyAlignment="1" applyProtection="1">
      <alignment horizontal="center"/>
    </xf>
    <xf numFmtId="38" fontId="3" fillId="4" borderId="4" xfId="3" applyFont="1" applyFill="1" applyBorder="1" applyAlignment="1" applyProtection="1">
      <alignment horizontal="center"/>
    </xf>
    <xf numFmtId="0" fontId="3" fillId="2" borderId="31" xfId="0" applyFont="1" applyFill="1" applyBorder="1" applyAlignment="1" applyProtection="1">
      <alignment horizontal="right" vertical="center"/>
    </xf>
    <xf numFmtId="0" fontId="3" fillId="2" borderId="10" xfId="0" applyFont="1" applyFill="1" applyBorder="1" applyAlignment="1" applyProtection="1">
      <alignment horizontal="right" vertical="center"/>
    </xf>
    <xf numFmtId="0" fontId="3" fillId="2" borderId="32" xfId="0" applyFont="1" applyFill="1" applyBorder="1" applyAlignment="1" applyProtection="1">
      <alignment horizontal="right" vertical="center"/>
    </xf>
    <xf numFmtId="38" fontId="3" fillId="2" borderId="33" xfId="3" applyFont="1" applyFill="1" applyBorder="1" applyAlignment="1" applyProtection="1">
      <alignment horizontal="center"/>
    </xf>
    <xf numFmtId="38" fontId="3" fillId="2" borderId="34" xfId="3" applyFont="1" applyFill="1" applyBorder="1" applyAlignment="1" applyProtection="1">
      <alignment horizontal="center"/>
    </xf>
    <xf numFmtId="38" fontId="3" fillId="2" borderId="52" xfId="3" applyFont="1" applyFill="1" applyBorder="1" applyAlignment="1" applyProtection="1">
      <alignment horizontal="center"/>
    </xf>
    <xf numFmtId="38" fontId="3" fillId="2" borderId="1" xfId="3" applyFont="1" applyFill="1" applyBorder="1" applyAlignment="1" applyProtection="1">
      <alignment horizontal="center"/>
    </xf>
    <xf numFmtId="0" fontId="3" fillId="0" borderId="40" xfId="0" applyFont="1" applyFill="1" applyBorder="1" applyAlignment="1" applyProtection="1">
      <alignment horizontal="center" vertical="distributed" textRotation="255"/>
    </xf>
    <xf numFmtId="0" fontId="3" fillId="0" borderId="41" xfId="0" applyFont="1" applyFill="1" applyBorder="1" applyAlignment="1" applyProtection="1">
      <alignment horizontal="center" vertical="distributed" textRotation="255"/>
    </xf>
    <xf numFmtId="0" fontId="3" fillId="0" borderId="42" xfId="0" applyFont="1" applyFill="1" applyBorder="1" applyAlignment="1" applyProtection="1">
      <alignment horizontal="center" vertical="distributed" textRotation="255"/>
    </xf>
    <xf numFmtId="38" fontId="3" fillId="4" borderId="2" xfId="3" applyFont="1" applyFill="1" applyBorder="1" applyAlignment="1" applyProtection="1">
      <alignment horizontal="center" vertical="center" wrapText="1" shrinkToFit="1"/>
    </xf>
    <xf numFmtId="38" fontId="3" fillId="4" borderId="4" xfId="3" applyFont="1" applyFill="1" applyBorder="1" applyAlignment="1" applyProtection="1">
      <alignment horizontal="center" vertical="center" wrapText="1" shrinkToFit="1"/>
    </xf>
    <xf numFmtId="0" fontId="3" fillId="4" borderId="33" xfId="0" applyFont="1" applyFill="1" applyBorder="1" applyAlignment="1" applyProtection="1">
      <alignment horizontal="center" vertical="center" wrapText="1"/>
    </xf>
    <xf numFmtId="0" fontId="3" fillId="4" borderId="34" xfId="0" applyFont="1" applyFill="1" applyBorder="1" applyAlignment="1" applyProtection="1">
      <alignment horizontal="center" vertical="center"/>
    </xf>
    <xf numFmtId="0" fontId="3" fillId="4" borderId="35" xfId="0" applyFont="1" applyFill="1" applyBorder="1" applyAlignment="1" applyProtection="1">
      <alignment horizontal="center" vertical="center"/>
    </xf>
    <xf numFmtId="38" fontId="3" fillId="0" borderId="6" xfId="3" applyFont="1" applyFill="1" applyBorder="1" applyAlignment="1" applyProtection="1">
      <alignment horizontal="center"/>
    </xf>
    <xf numFmtId="38" fontId="3" fillId="0" borderId="25" xfId="3" applyFont="1" applyFill="1" applyBorder="1" applyAlignment="1" applyProtection="1">
      <alignment horizontal="center"/>
    </xf>
    <xf numFmtId="38" fontId="3" fillId="0" borderId="27" xfId="3" applyFont="1" applyFill="1" applyBorder="1" applyAlignment="1" applyProtection="1">
      <alignment horizontal="center"/>
    </xf>
    <xf numFmtId="38" fontId="3" fillId="0" borderId="28" xfId="3" applyFont="1" applyFill="1" applyBorder="1" applyAlignment="1" applyProtection="1">
      <alignment horizontal="center"/>
    </xf>
    <xf numFmtId="38" fontId="3" fillId="0" borderId="29" xfId="3" applyFont="1" applyFill="1" applyBorder="1" applyAlignment="1" applyProtection="1">
      <alignment horizontal="center"/>
    </xf>
    <xf numFmtId="38" fontId="3" fillId="0" borderId="30" xfId="3" applyFont="1" applyFill="1" applyBorder="1" applyAlignment="1" applyProtection="1">
      <alignment horizontal="center"/>
    </xf>
    <xf numFmtId="38" fontId="3" fillId="0" borderId="6" xfId="3" applyFont="1" applyFill="1" applyBorder="1" applyAlignment="1" applyProtection="1">
      <alignment horizontal="right"/>
      <protection hidden="1"/>
    </xf>
    <xf numFmtId="38" fontId="3" fillId="0" borderId="25" xfId="3" applyFont="1" applyFill="1" applyBorder="1" applyAlignment="1" applyProtection="1">
      <alignment horizontal="right"/>
      <protection hidden="1"/>
    </xf>
    <xf numFmtId="0" fontId="7" fillId="2" borderId="0" xfId="0" applyFont="1" applyFill="1" applyAlignment="1" applyProtection="1">
      <alignment horizontal="center"/>
      <protection hidden="1"/>
    </xf>
    <xf numFmtId="38" fontId="9" fillId="2" borderId="24" xfId="3" applyFont="1" applyFill="1" applyBorder="1" applyAlignment="1" applyProtection="1">
      <alignment horizontal="center" vertical="center"/>
    </xf>
    <xf numFmtId="38" fontId="3" fillId="2" borderId="6" xfId="3" applyFont="1" applyFill="1" applyBorder="1" applyAlignment="1" applyProtection="1">
      <alignment horizontal="center"/>
    </xf>
    <xf numFmtId="38" fontId="3" fillId="2" borderId="43" xfId="3" applyFont="1" applyFill="1" applyBorder="1" applyAlignment="1" applyProtection="1">
      <alignment horizontal="center"/>
    </xf>
    <xf numFmtId="38" fontId="3" fillId="2" borderId="25" xfId="3" applyFont="1" applyFill="1" applyBorder="1" applyAlignment="1" applyProtection="1">
      <alignment horizontal="center"/>
    </xf>
    <xf numFmtId="0" fontId="5" fillId="0" borderId="36" xfId="0" applyFont="1" applyFill="1" applyBorder="1" applyAlignment="1" applyProtection="1">
      <alignment horizontal="right" shrinkToFit="1"/>
    </xf>
    <xf numFmtId="0" fontId="5" fillId="0" borderId="37" xfId="0" applyFont="1" applyFill="1" applyBorder="1" applyAlignment="1" applyProtection="1">
      <alignment horizontal="right" shrinkToFit="1"/>
    </xf>
    <xf numFmtId="0" fontId="5" fillId="0" borderId="38" xfId="0" applyFont="1" applyFill="1" applyBorder="1" applyAlignment="1" applyProtection="1">
      <alignment horizontal="right" shrinkToFit="1"/>
    </xf>
    <xf numFmtId="0" fontId="5" fillId="0" borderId="39" xfId="0" applyFont="1" applyFill="1" applyBorder="1" applyAlignment="1" applyProtection="1">
      <alignment horizontal="right" shrinkToFit="1"/>
    </xf>
    <xf numFmtId="176" fontId="3" fillId="0" borderId="6" xfId="1" applyNumberFormat="1" applyFont="1" applyFill="1" applyBorder="1" applyAlignment="1" applyProtection="1">
      <alignment horizontal="center"/>
      <protection hidden="1"/>
    </xf>
    <xf numFmtId="176" fontId="3" fillId="0" borderId="43" xfId="1" applyNumberFormat="1" applyFont="1" applyFill="1" applyBorder="1" applyAlignment="1" applyProtection="1">
      <alignment horizontal="center"/>
      <protection hidden="1"/>
    </xf>
    <xf numFmtId="176" fontId="3" fillId="0" borderId="25" xfId="1" applyNumberFormat="1" applyFont="1" applyFill="1" applyBorder="1" applyAlignment="1" applyProtection="1">
      <alignment horizontal="center"/>
      <protection hidden="1"/>
    </xf>
    <xf numFmtId="38" fontId="3" fillId="0" borderId="6" xfId="3" applyFont="1" applyFill="1" applyBorder="1" applyAlignment="1" applyProtection="1">
      <alignment horizontal="center"/>
      <protection hidden="1"/>
    </xf>
    <xf numFmtId="38" fontId="3" fillId="0" borderId="43" xfId="3" applyFont="1" applyFill="1" applyBorder="1" applyAlignment="1" applyProtection="1">
      <alignment horizontal="center"/>
      <protection hidden="1"/>
    </xf>
    <xf numFmtId="38" fontId="3" fillId="0" borderId="25" xfId="3" applyFont="1" applyFill="1" applyBorder="1" applyAlignment="1" applyProtection="1">
      <alignment horizontal="center"/>
      <protection hidden="1"/>
    </xf>
    <xf numFmtId="38" fontId="3" fillId="0" borderId="6" xfId="3" applyFont="1" applyFill="1" applyBorder="1" applyAlignment="1" applyProtection="1">
      <alignment horizontal="right"/>
    </xf>
    <xf numFmtId="38" fontId="3" fillId="0" borderId="43" xfId="3" applyFont="1" applyFill="1" applyBorder="1" applyAlignment="1" applyProtection="1">
      <alignment horizontal="right"/>
    </xf>
    <xf numFmtId="38" fontId="3" fillId="0" borderId="25" xfId="3" applyFont="1" applyFill="1" applyBorder="1" applyAlignment="1" applyProtection="1">
      <alignment horizontal="right"/>
    </xf>
    <xf numFmtId="38" fontId="3" fillId="0" borderId="1" xfId="3" applyFont="1" applyFill="1" applyBorder="1" applyAlignment="1" applyProtection="1">
      <alignment horizontal="center"/>
    </xf>
    <xf numFmtId="0" fontId="10" fillId="2" borderId="0" xfId="0" applyFont="1" applyFill="1" applyAlignment="1" applyProtection="1">
      <alignment horizontal="left"/>
      <protection hidden="1"/>
    </xf>
    <xf numFmtId="0" fontId="3" fillId="4" borderId="44" xfId="0" applyFont="1" applyFill="1" applyBorder="1" applyAlignment="1" applyProtection="1">
      <alignment horizontal="center"/>
    </xf>
    <xf numFmtId="0" fontId="3" fillId="4" borderId="13" xfId="0" applyFont="1" applyFill="1" applyBorder="1" applyAlignment="1" applyProtection="1">
      <alignment horizontal="center"/>
    </xf>
    <xf numFmtId="0" fontId="3" fillId="4" borderId="20" xfId="0" applyFont="1" applyFill="1" applyBorder="1" applyAlignment="1" applyProtection="1">
      <alignment horizontal="center"/>
    </xf>
    <xf numFmtId="0" fontId="3" fillId="0" borderId="45" xfId="0" applyFont="1" applyFill="1" applyBorder="1" applyAlignment="1" applyProtection="1">
      <alignment horizontal="center" vertical="distributed" textRotation="255"/>
    </xf>
    <xf numFmtId="0" fontId="3" fillId="0" borderId="10" xfId="0" applyFont="1" applyFill="1" applyBorder="1" applyAlignment="1" applyProtection="1">
      <alignment horizontal="center" vertical="distributed" textRotation="255"/>
    </xf>
    <xf numFmtId="0" fontId="3" fillId="0" borderId="46" xfId="0" applyFont="1" applyFill="1" applyBorder="1" applyAlignment="1" applyProtection="1">
      <alignment horizontal="center" vertical="distributed" textRotation="255"/>
    </xf>
    <xf numFmtId="0" fontId="3" fillId="4" borderId="47" xfId="0" applyFont="1" applyFill="1" applyBorder="1" applyAlignment="1" applyProtection="1">
      <alignment horizontal="center" vertical="center"/>
    </xf>
    <xf numFmtId="0" fontId="3" fillId="4" borderId="48"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49" xfId="0" applyFont="1" applyFill="1" applyBorder="1" applyAlignment="1" applyProtection="1">
      <alignment horizontal="center" vertical="center"/>
    </xf>
    <xf numFmtId="0" fontId="3" fillId="4" borderId="50" xfId="0" applyFont="1" applyFill="1" applyBorder="1" applyAlignment="1" applyProtection="1">
      <alignment horizontal="center" vertical="center"/>
    </xf>
    <xf numFmtId="0" fontId="3" fillId="4" borderId="51" xfId="0" applyFont="1" applyFill="1" applyBorder="1" applyAlignment="1" applyProtection="1">
      <alignment horizontal="center" vertical="center"/>
    </xf>
    <xf numFmtId="38" fontId="9" fillId="2" borderId="0" xfId="3" applyFont="1" applyFill="1" applyBorder="1" applyAlignment="1" applyProtection="1">
      <alignment horizontal="center" vertical="center"/>
    </xf>
    <xf numFmtId="0" fontId="5" fillId="2" borderId="26" xfId="0" applyFont="1" applyFill="1" applyBorder="1" applyAlignment="1" applyProtection="1">
      <alignment horizontal="center"/>
    </xf>
    <xf numFmtId="38" fontId="3" fillId="4" borderId="3" xfId="3" applyFont="1" applyFill="1" applyBorder="1" applyAlignment="1" applyProtection="1">
      <alignment horizontal="center" vertical="center"/>
    </xf>
    <xf numFmtId="38" fontId="3" fillId="4" borderId="19" xfId="3" applyFont="1" applyFill="1" applyBorder="1" applyAlignment="1" applyProtection="1">
      <alignment horizontal="center" vertical="center"/>
    </xf>
    <xf numFmtId="38" fontId="3" fillId="4" borderId="5" xfId="3" applyFont="1" applyFill="1" applyBorder="1" applyAlignment="1" applyProtection="1">
      <alignment horizontal="center" vertical="center"/>
    </xf>
    <xf numFmtId="0" fontId="3" fillId="4" borderId="25"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6" xfId="0" applyFont="1" applyFill="1" applyBorder="1" applyAlignment="1" applyProtection="1">
      <alignment horizontal="center"/>
    </xf>
    <xf numFmtId="38" fontId="3" fillId="4" borderId="2" xfId="3" applyFont="1" applyFill="1" applyBorder="1" applyAlignment="1" applyProtection="1">
      <alignment horizontal="center" vertical="center"/>
    </xf>
    <xf numFmtId="38" fontId="3" fillId="4" borderId="4" xfId="3" applyFont="1" applyFill="1" applyBorder="1" applyAlignment="1" applyProtection="1">
      <alignment horizontal="center" vertical="center"/>
    </xf>
    <xf numFmtId="0" fontId="3" fillId="2" borderId="1" xfId="0" applyFont="1" applyFill="1" applyBorder="1" applyAlignment="1">
      <alignment horizontal="center" wrapText="1"/>
    </xf>
    <xf numFmtId="0" fontId="12" fillId="2" borderId="0" xfId="0" applyFont="1" applyFill="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wrapText="1" shrinkToFit="1"/>
    </xf>
    <xf numFmtId="0" fontId="3" fillId="2" borderId="1" xfId="0" applyFont="1" applyFill="1" applyBorder="1" applyAlignment="1">
      <alignment horizontal="center" shrinkToFit="1"/>
    </xf>
    <xf numFmtId="38" fontId="13" fillId="4" borderId="5" xfId="3" applyFont="1" applyFill="1" applyBorder="1" applyAlignment="1" applyProtection="1">
      <alignment horizontal="center" vertical="center" wrapText="1"/>
    </xf>
  </cellXfs>
  <cellStyles count="9">
    <cellStyle name="パーセント" xfId="1" builtinId="5"/>
    <cellStyle name="パーセント 2" xfId="2" xr:uid="{00000000-0005-0000-0000-000001000000}"/>
    <cellStyle name="桁区切り" xfId="3" builtinId="6"/>
    <cellStyle name="桁区切り 2"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_MN000924 西野 法人税等の計算ｼﾐｭﾚｰｼｮﾝ Ver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barChart>
        <c:barDir val="col"/>
        <c:grouping val="clustered"/>
        <c:varyColors val="0"/>
        <c:ser>
          <c:idx val="0"/>
          <c:order val="0"/>
          <c:invertIfNegative val="0"/>
          <c:dPt>
            <c:idx val="1"/>
            <c:invertIfNegative val="0"/>
            <c:bubble3D val="0"/>
            <c:spPr>
              <a:solidFill>
                <a:schemeClr val="accent6">
                  <a:lumMod val="75000"/>
                </a:schemeClr>
              </a:solidFill>
            </c:spPr>
            <c:extLst>
              <c:ext xmlns:c16="http://schemas.microsoft.com/office/drawing/2014/chart" uri="{C3380CC4-5D6E-409C-BE32-E72D297353CC}">
                <c16:uniqueId val="{00000000-A5CE-4752-9C0E-F814107A0B0B}"/>
              </c:ext>
            </c:extLst>
          </c:dPt>
          <c:cat>
            <c:strLit>
              <c:ptCount val="2"/>
              <c:pt idx="0">
                <c:v>一般課税</c:v>
              </c:pt>
              <c:pt idx="1">
                <c:v>簡易課税</c:v>
              </c:pt>
            </c:strLit>
          </c:cat>
          <c:val>
            <c:numRef>
              <c:f>(消費税有利判定!$P$40,消費税有利判定!$V$40)</c:f>
              <c:numCache>
                <c:formatCode>#,##0_);[Red]\(#,##0\)</c:formatCode>
                <c:ptCount val="2"/>
                <c:pt idx="0">
                  <c:v>270700</c:v>
                </c:pt>
                <c:pt idx="1">
                  <c:v>582900</c:v>
                </c:pt>
              </c:numCache>
            </c:numRef>
          </c:val>
          <c:extLst>
            <c:ext xmlns:c16="http://schemas.microsoft.com/office/drawing/2014/chart" uri="{C3380CC4-5D6E-409C-BE32-E72D297353CC}">
              <c16:uniqueId val="{00000001-A5CE-4752-9C0E-F814107A0B0B}"/>
            </c:ext>
          </c:extLst>
        </c:ser>
        <c:dLbls>
          <c:showLegendKey val="0"/>
          <c:showVal val="0"/>
          <c:showCatName val="0"/>
          <c:showSerName val="0"/>
          <c:showPercent val="0"/>
          <c:showBubbleSize val="0"/>
        </c:dLbls>
        <c:gapWidth val="150"/>
        <c:axId val="392666848"/>
        <c:axId val="1"/>
      </c:barChart>
      <c:catAx>
        <c:axId val="39266684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numFmt formatCode="#,##0_);[Red]\(#,##0\)" sourceLinked="1"/>
        <c:majorTickMark val="out"/>
        <c:minorTickMark val="none"/>
        <c:tickLblPos val="nextTo"/>
        <c:crossAx val="392666848"/>
        <c:crosses val="autoZero"/>
        <c:crossBetween val="between"/>
      </c:valAx>
    </c:plotArea>
    <c:plotVisOnly val="1"/>
    <c:dispBlanksAs val="gap"/>
    <c:showDLblsOverMax val="0"/>
  </c:chart>
  <c:printSettings>
    <c:headerFooter/>
    <c:pageMargins b="0.75" l="0.7" r="0.7" t="0.75" header="0.3" footer="0.3"/>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s://www.amazon.co.jp/dp/4866671858/ref=as_sl_pc_tf_mfw?&amp;linkCode=wey&amp;tag=thedailylifeo-22"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67235</xdr:colOff>
      <xdr:row>42</xdr:row>
      <xdr:rowOff>71719</xdr:rowOff>
    </xdr:from>
    <xdr:to>
      <xdr:col>21</xdr:col>
      <xdr:colOff>247650</xdr:colOff>
      <xdr:row>72</xdr:row>
      <xdr:rowOff>146238</xdr:rowOff>
    </xdr:to>
    <xdr:graphicFrame macro="">
      <xdr:nvGraphicFramePr>
        <xdr:cNvPr id="1145" name="グラフ 3">
          <a:extLst>
            <a:ext uri="{FF2B5EF4-FFF2-40B4-BE49-F238E27FC236}">
              <a16:creationId xmlns:a16="http://schemas.microsoft.com/office/drawing/2014/main" id="{3BEECE80-D473-427A-B1DB-2DCCEDF18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907676</xdr:colOff>
      <xdr:row>103</xdr:row>
      <xdr:rowOff>134470</xdr:rowOff>
    </xdr:from>
    <xdr:to>
      <xdr:col>3</xdr:col>
      <xdr:colOff>696445</xdr:colOff>
      <xdr:row>111</xdr:row>
      <xdr:rowOff>130347</xdr:rowOff>
    </xdr:to>
    <xdr:pic>
      <xdr:nvPicPr>
        <xdr:cNvPr id="8" name="図 7">
          <a:hlinkClick xmlns:r="http://schemas.openxmlformats.org/officeDocument/2006/relationships" r:id="rId2"/>
          <a:extLst>
            <a:ext uri="{FF2B5EF4-FFF2-40B4-BE49-F238E27FC236}">
              <a16:creationId xmlns:a16="http://schemas.microsoft.com/office/drawing/2014/main" id="{D34524F3-AFD1-4365-834B-79B4B5BD5B1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6617" y="19106029"/>
          <a:ext cx="942975" cy="1340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371;&#12400;&#12420;&#12375;My%20Documents\&#31246;&#21209;\&#28040;&#36027;&#31246;\05&#24180;&#27770;&#31639;\&#28040;&#36027;&#31246;&#35506;&#38750;&#26126;&#32048;&#34920;\&#21208;&#23450;&#31185;&#30446;&#21029;&#35506;&#31246;&#21462;&#24341;&#37329;&#38989;&#26126;&#32048;&#34920;&#65288;1&#65374;12&#26376;&#2639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生データ"/>
      <sheetName val="仕入税額控除に関する明細書"/>
      <sheetName val="加工後"/>
      <sheetName val="Sheet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13"/>
  <sheetViews>
    <sheetView showGridLines="0" tabSelected="1" zoomScale="85" zoomScaleNormal="85" workbookViewId="0">
      <selection activeCell="BF29" sqref="BF29"/>
    </sheetView>
  </sheetViews>
  <sheetFormatPr defaultRowHeight="13.5" x14ac:dyDescent="0.15"/>
  <cols>
    <col min="1" max="1" width="3.5" style="115" customWidth="1"/>
    <col min="2" max="2" width="15.125" style="115" customWidth="1"/>
    <col min="3" max="3" width="7" style="115" hidden="1" customWidth="1"/>
    <col min="4" max="5" width="10.625" style="130" customWidth="1"/>
    <col min="6" max="8" width="10.625" style="115" customWidth="1"/>
    <col min="9" max="9" width="10.625" style="130" customWidth="1"/>
    <col min="10" max="10" width="8.125" style="131" bestFit="1" customWidth="1"/>
    <col min="11" max="11" width="2.625" style="130" customWidth="1"/>
    <col min="12" max="12" width="3.5" style="131" bestFit="1" customWidth="1"/>
    <col min="13" max="13" width="15.625" style="130" customWidth="1"/>
    <col min="14" max="16" width="10.625" style="130" customWidth="1"/>
    <col min="17" max="17" width="2.625" style="130" customWidth="1"/>
    <col min="18" max="18" width="3.5" style="131" bestFit="1" customWidth="1"/>
    <col min="19" max="19" width="15.625" style="130" customWidth="1"/>
    <col min="20" max="21" width="10.625" style="130" customWidth="1"/>
    <col min="22" max="22" width="10.625" style="115" customWidth="1"/>
    <col min="23" max="23" width="6.625" style="115" customWidth="1"/>
    <col min="24" max="24" width="11.25" style="115" hidden="1" customWidth="1"/>
    <col min="25" max="25" width="10.625" style="115" hidden="1" customWidth="1"/>
    <col min="26" max="30" width="9" style="115" hidden="1" customWidth="1"/>
    <col min="31" max="32" width="12.875" style="115" hidden="1" customWidth="1"/>
    <col min="33" max="35" width="12.125" style="115" hidden="1" customWidth="1"/>
    <col min="36" max="36" width="10.375" style="115" hidden="1" customWidth="1"/>
    <col min="37" max="41" width="8" style="115" hidden="1" customWidth="1"/>
    <col min="42" max="42" width="11.25" style="115" hidden="1" customWidth="1"/>
    <col min="43" max="53" width="8" style="115" hidden="1" customWidth="1"/>
    <col min="54" max="54" width="12.375" style="115" hidden="1" customWidth="1"/>
    <col min="55" max="56" width="9" style="115" hidden="1" customWidth="1"/>
    <col min="57" max="57" width="11" style="115" hidden="1" customWidth="1"/>
    <col min="58" max="58" width="36.75" style="115" bestFit="1" customWidth="1"/>
    <col min="59" max="59" width="38.625" style="115" customWidth="1"/>
    <col min="60" max="63" width="9" style="115" customWidth="1"/>
    <col min="64" max="16384" width="9" style="115"/>
  </cols>
  <sheetData>
    <row r="1" spans="1:59" s="54" customFormat="1" ht="25.5" x14ac:dyDescent="0.25">
      <c r="A1" s="206" t="str">
        <f>BG1</f>
        <v>株式会社今野デザイン様</v>
      </c>
      <c r="B1" s="206"/>
      <c r="C1" s="206"/>
      <c r="D1" s="206"/>
      <c r="E1" s="206"/>
      <c r="F1" s="206"/>
      <c r="G1" s="206"/>
      <c r="H1" s="48"/>
      <c r="I1" s="4"/>
      <c r="J1" s="4"/>
      <c r="K1" s="2" t="s">
        <v>87</v>
      </c>
      <c r="L1" s="4"/>
      <c r="M1" s="4"/>
      <c r="N1" s="4"/>
      <c r="O1" s="4"/>
      <c r="P1" s="4"/>
      <c r="Q1" s="51"/>
      <c r="R1" s="52"/>
      <c r="S1" s="53"/>
      <c r="T1" s="53"/>
      <c r="U1" s="53"/>
      <c r="W1" s="2" t="s">
        <v>87</v>
      </c>
      <c r="X1" s="2"/>
      <c r="BF1" s="3" t="s">
        <v>88</v>
      </c>
      <c r="BG1" s="153" t="s">
        <v>159</v>
      </c>
    </row>
    <row r="2" spans="1:59" s="54" customFormat="1" ht="18.75" x14ac:dyDescent="0.2">
      <c r="A2" s="10" t="str">
        <f>BG2</f>
        <v>令和２年３月時点</v>
      </c>
      <c r="B2" s="12"/>
      <c r="C2" s="4"/>
      <c r="D2" s="4"/>
      <c r="E2" s="4"/>
      <c r="F2" s="4"/>
      <c r="G2" s="4"/>
      <c r="H2" s="4"/>
      <c r="I2" s="4"/>
      <c r="J2" s="4"/>
      <c r="K2" s="4"/>
      <c r="L2" s="4"/>
      <c r="M2" s="4"/>
      <c r="N2" s="4"/>
      <c r="O2" s="4"/>
      <c r="P2" s="4"/>
      <c r="Q2" s="51"/>
      <c r="R2" s="52"/>
      <c r="S2" s="53"/>
      <c r="T2" s="53"/>
      <c r="U2" s="53"/>
      <c r="V2" s="2"/>
      <c r="W2" s="2"/>
      <c r="X2" s="2"/>
      <c r="BF2" s="5" t="s">
        <v>89</v>
      </c>
      <c r="BG2" s="154" t="s">
        <v>182</v>
      </c>
    </row>
    <row r="3" spans="1:59" s="54" customFormat="1" x14ac:dyDescent="0.15">
      <c r="B3" s="4"/>
      <c r="C3" s="4"/>
      <c r="D3" s="4"/>
      <c r="E3" s="4"/>
      <c r="F3" s="4"/>
      <c r="G3" s="4"/>
      <c r="H3" s="4"/>
      <c r="I3" s="4"/>
      <c r="J3" s="4"/>
      <c r="K3" s="4"/>
      <c r="L3" s="4"/>
      <c r="M3" s="4"/>
      <c r="N3" s="4"/>
      <c r="O3" s="4"/>
      <c r="P3" s="4"/>
      <c r="Q3" s="2"/>
      <c r="R3" s="52"/>
      <c r="S3" s="53"/>
      <c r="T3" s="53"/>
      <c r="U3" s="53"/>
      <c r="V3" s="51"/>
      <c r="W3" s="51"/>
      <c r="X3" s="51"/>
      <c r="BF3" s="51"/>
      <c r="BG3" s="51"/>
    </row>
    <row r="4" spans="1:59" s="54" customFormat="1" ht="24" x14ac:dyDescent="0.25">
      <c r="A4" s="187" t="s">
        <v>198</v>
      </c>
      <c r="B4" s="187"/>
      <c r="C4" s="187"/>
      <c r="D4" s="187"/>
      <c r="E4" s="187"/>
      <c r="F4" s="187"/>
      <c r="G4" s="187"/>
      <c r="H4" s="187"/>
      <c r="I4" s="187"/>
      <c r="J4" s="187"/>
      <c r="K4" s="187"/>
      <c r="L4" s="187" t="s">
        <v>199</v>
      </c>
      <c r="M4" s="187"/>
      <c r="N4" s="187"/>
      <c r="O4" s="187"/>
      <c r="P4" s="187"/>
      <c r="Q4" s="187"/>
      <c r="R4" s="187"/>
      <c r="S4" s="187"/>
      <c r="T4" s="187"/>
      <c r="U4" s="187"/>
      <c r="V4" s="187"/>
      <c r="W4" s="49"/>
      <c r="X4" s="49"/>
      <c r="BF4" s="51"/>
      <c r="BG4" s="51"/>
    </row>
    <row r="5" spans="1:59" s="54" customFormat="1" x14ac:dyDescent="0.15">
      <c r="A5" s="51"/>
      <c r="B5" s="51"/>
      <c r="C5" s="51"/>
      <c r="D5" s="53"/>
      <c r="E5" s="53"/>
      <c r="F5" s="51"/>
      <c r="G5" s="51"/>
      <c r="H5" s="51"/>
      <c r="I5" s="53"/>
      <c r="J5" s="52"/>
      <c r="K5" s="53"/>
      <c r="L5" s="52"/>
      <c r="M5" s="53"/>
      <c r="N5" s="53"/>
      <c r="O5" s="53"/>
      <c r="P5" s="53"/>
      <c r="Q5" s="53"/>
      <c r="R5" s="52"/>
      <c r="S5" s="53"/>
      <c r="T5" s="53"/>
      <c r="U5" s="53"/>
      <c r="V5" s="51"/>
      <c r="W5" s="51"/>
      <c r="X5" s="51"/>
      <c r="AP5" s="54">
        <f ca="1">ROUNDDOWN((($X$20-AN16)*BE16),0)</f>
        <v>5548</v>
      </c>
      <c r="BF5" s="53"/>
      <c r="BG5" s="53"/>
    </row>
    <row r="6" spans="1:59" s="57" customFormat="1" ht="14.25" thickBot="1" x14ac:dyDescent="0.2">
      <c r="A6" s="220" t="s">
        <v>112</v>
      </c>
      <c r="B6" s="220"/>
      <c r="C6" s="220"/>
      <c r="D6" s="220"/>
      <c r="E6" s="220"/>
      <c r="F6" s="220"/>
      <c r="G6" s="220"/>
      <c r="H6" s="220"/>
      <c r="I6" s="220"/>
      <c r="J6" s="220"/>
      <c r="K6" s="53"/>
      <c r="L6" s="219" t="s">
        <v>65</v>
      </c>
      <c r="M6" s="219"/>
      <c r="N6" s="219"/>
      <c r="O6" s="219"/>
      <c r="P6" s="55"/>
      <c r="Q6" s="53"/>
      <c r="R6" s="188" t="s">
        <v>66</v>
      </c>
      <c r="S6" s="188"/>
      <c r="T6" s="188"/>
      <c r="U6" s="188"/>
      <c r="V6" s="188"/>
      <c r="W6" s="55"/>
      <c r="X6" s="55"/>
      <c r="Y6" s="56"/>
      <c r="BF6" s="53"/>
      <c r="BG6" s="53"/>
    </row>
    <row r="7" spans="1:59" s="57" customFormat="1" x14ac:dyDescent="0.15">
      <c r="A7" s="207" t="s">
        <v>40</v>
      </c>
      <c r="B7" s="208"/>
      <c r="C7" s="208"/>
      <c r="D7" s="208"/>
      <c r="E7" s="208"/>
      <c r="F7" s="208"/>
      <c r="G7" s="208"/>
      <c r="H7" s="209"/>
      <c r="I7" s="209"/>
      <c r="J7" s="176" t="s">
        <v>48</v>
      </c>
      <c r="K7" s="53"/>
      <c r="L7" s="158" t="s">
        <v>43</v>
      </c>
      <c r="M7" s="158"/>
      <c r="N7" s="158"/>
      <c r="O7" s="158"/>
      <c r="P7" s="158"/>
      <c r="R7" s="158" t="s">
        <v>67</v>
      </c>
      <c r="S7" s="158"/>
      <c r="T7" s="158"/>
      <c r="U7" s="158"/>
      <c r="V7" s="158"/>
      <c r="W7" s="46"/>
      <c r="X7" s="46"/>
      <c r="BF7" s="53"/>
      <c r="BG7" s="53"/>
    </row>
    <row r="8" spans="1:59" s="57" customFormat="1" x14ac:dyDescent="0.15">
      <c r="A8" s="213" t="s">
        <v>0</v>
      </c>
      <c r="B8" s="214"/>
      <c r="C8" s="58"/>
      <c r="D8" s="221" t="s">
        <v>1</v>
      </c>
      <c r="E8" s="224"/>
      <c r="F8" s="225"/>
      <c r="G8" s="225"/>
      <c r="H8" s="226"/>
      <c r="I8" s="226"/>
      <c r="J8" s="177"/>
      <c r="K8" s="53"/>
      <c r="L8" s="160" t="s">
        <v>191</v>
      </c>
      <c r="M8" s="161"/>
      <c r="N8" s="35" t="s">
        <v>192</v>
      </c>
      <c r="O8" s="36" t="s">
        <v>193</v>
      </c>
      <c r="P8" s="37" t="s">
        <v>197</v>
      </c>
      <c r="R8" s="160" t="s">
        <v>191</v>
      </c>
      <c r="S8" s="161"/>
      <c r="T8" s="35" t="s">
        <v>192</v>
      </c>
      <c r="U8" s="36" t="s">
        <v>193</v>
      </c>
      <c r="V8" s="37" t="s">
        <v>197</v>
      </c>
      <c r="W8" s="34"/>
      <c r="X8" s="34"/>
      <c r="BF8" s="53"/>
      <c r="BG8" s="53"/>
    </row>
    <row r="9" spans="1:59" s="57" customFormat="1" x14ac:dyDescent="0.15">
      <c r="A9" s="215"/>
      <c r="B9" s="216"/>
      <c r="C9" s="58"/>
      <c r="D9" s="222"/>
      <c r="E9" s="225" t="s">
        <v>36</v>
      </c>
      <c r="F9" s="225"/>
      <c r="G9" s="225"/>
      <c r="H9" s="226"/>
      <c r="I9" s="226"/>
      <c r="J9" s="177"/>
      <c r="K9" s="53"/>
      <c r="L9" s="59" t="s">
        <v>190</v>
      </c>
      <c r="M9" s="6" t="s">
        <v>194</v>
      </c>
      <c r="N9" s="32">
        <f>H19</f>
        <v>1041018</v>
      </c>
      <c r="O9" s="7">
        <f>I19</f>
        <v>12070789</v>
      </c>
      <c r="P9" s="7">
        <f>SUM(N9:O9)</f>
        <v>13111807</v>
      </c>
      <c r="R9" s="59" t="s">
        <v>6</v>
      </c>
      <c r="S9" s="6" t="s">
        <v>50</v>
      </c>
      <c r="T9" s="33">
        <f>ROUNDDOWN(H19/1.08,-3)</f>
        <v>963000</v>
      </c>
      <c r="U9" s="33">
        <f>ROUNDDOWN(I19/1.1,-3)</f>
        <v>10973000</v>
      </c>
      <c r="V9" s="33">
        <f>SUM(T9:U9)</f>
        <v>11936000</v>
      </c>
      <c r="W9" s="43"/>
      <c r="X9" s="43"/>
      <c r="BF9" s="53"/>
      <c r="BG9" s="53"/>
    </row>
    <row r="10" spans="1:59" s="57" customFormat="1" x14ac:dyDescent="0.15">
      <c r="A10" s="215"/>
      <c r="B10" s="216"/>
      <c r="C10" s="58"/>
      <c r="D10" s="222"/>
      <c r="E10" s="227" t="s">
        <v>2</v>
      </c>
      <c r="F10" s="174" t="s">
        <v>27</v>
      </c>
      <c r="G10" s="60" t="s">
        <v>38</v>
      </c>
      <c r="H10" s="61" t="s">
        <v>183</v>
      </c>
      <c r="I10" s="61" t="s">
        <v>39</v>
      </c>
      <c r="J10" s="177"/>
      <c r="K10" s="53"/>
      <c r="L10" s="59" t="s">
        <v>185</v>
      </c>
      <c r="M10" s="6" t="s">
        <v>195</v>
      </c>
      <c r="N10" s="44">
        <f>ROUNDDOWN(N9/1.08,0)</f>
        <v>963905</v>
      </c>
      <c r="O10" s="7">
        <f>ROUNDDOWN(O9/1.1,0)</f>
        <v>10973444</v>
      </c>
      <c r="P10" s="7">
        <f>SUM(N10:O10)</f>
        <v>11937349</v>
      </c>
      <c r="R10" s="59" t="s">
        <v>13</v>
      </c>
      <c r="S10" s="6" t="s">
        <v>196</v>
      </c>
      <c r="T10" s="44">
        <f>ROUNDDOWN(T9*0.0624,0)</f>
        <v>60091</v>
      </c>
      <c r="U10" s="45">
        <f>ROUNDDOWN(U9*0.078,0)</f>
        <v>855894</v>
      </c>
      <c r="V10" s="33">
        <f>SUM(T10:U10)</f>
        <v>915985</v>
      </c>
      <c r="W10" s="43"/>
      <c r="X10" s="43"/>
      <c r="BF10" s="53"/>
      <c r="BG10" s="53"/>
    </row>
    <row r="11" spans="1:59" s="57" customFormat="1" x14ac:dyDescent="0.15">
      <c r="A11" s="217"/>
      <c r="B11" s="218"/>
      <c r="C11" s="62"/>
      <c r="D11" s="223"/>
      <c r="E11" s="228"/>
      <c r="F11" s="175"/>
      <c r="G11" s="63" t="s">
        <v>37</v>
      </c>
      <c r="H11" s="64" t="s">
        <v>180</v>
      </c>
      <c r="I11" s="234" t="s">
        <v>184</v>
      </c>
      <c r="J11" s="178"/>
      <c r="K11" s="53"/>
      <c r="L11" s="59" t="s">
        <v>186</v>
      </c>
      <c r="M11" s="6" t="s">
        <v>41</v>
      </c>
      <c r="N11" s="185">
        <f>G19</f>
        <v>0</v>
      </c>
      <c r="O11" s="186"/>
      <c r="P11" s="8">
        <f>SUM(N11:N11)</f>
        <v>0</v>
      </c>
      <c r="Q11" s="53"/>
      <c r="R11" s="65"/>
      <c r="S11" s="16"/>
      <c r="T11" s="16"/>
      <c r="U11" s="21"/>
      <c r="V11" s="53"/>
      <c r="W11" s="53"/>
      <c r="X11" s="53"/>
      <c r="AJ11" s="57" t="s">
        <v>181</v>
      </c>
      <c r="AQ11" s="57">
        <f>COUNTIF(V14:V19,"&gt;0")</f>
        <v>6</v>
      </c>
      <c r="BF11" s="53"/>
      <c r="BG11" s="53"/>
    </row>
    <row r="12" spans="1:59" s="57" customFormat="1" x14ac:dyDescent="0.15">
      <c r="A12" s="210" t="s">
        <v>3</v>
      </c>
      <c r="B12" s="133" t="s">
        <v>4</v>
      </c>
      <c r="C12" s="66"/>
      <c r="D12" s="135">
        <v>13111807</v>
      </c>
      <c r="E12" s="135"/>
      <c r="F12" s="135"/>
      <c r="G12" s="135"/>
      <c r="H12" s="136">
        <v>1041018</v>
      </c>
      <c r="I12" s="67">
        <f>D12-E12-F12-G12-H12</f>
        <v>12070789</v>
      </c>
      <c r="J12" s="181"/>
      <c r="K12" s="53"/>
      <c r="L12" s="59" t="s">
        <v>187</v>
      </c>
      <c r="M12" s="6" t="s">
        <v>42</v>
      </c>
      <c r="N12" s="44">
        <f>SUM(N10:N11)</f>
        <v>963905</v>
      </c>
      <c r="O12" s="8">
        <f>SUM(O10:O11)</f>
        <v>10973444</v>
      </c>
      <c r="P12" s="1">
        <f>SUM(N12:O12)</f>
        <v>11937349</v>
      </c>
      <c r="R12" s="158" t="s">
        <v>68</v>
      </c>
      <c r="S12" s="158"/>
      <c r="T12" s="158"/>
      <c r="U12" s="158"/>
      <c r="V12" s="162" t="s">
        <v>64</v>
      </c>
      <c r="W12" s="162" t="s">
        <v>74</v>
      </c>
      <c r="X12" s="68"/>
      <c r="BF12" s="53"/>
      <c r="BG12" s="53"/>
    </row>
    <row r="13" spans="1:59" s="57" customFormat="1" x14ac:dyDescent="0.15">
      <c r="A13" s="211"/>
      <c r="B13" s="133" t="s">
        <v>139</v>
      </c>
      <c r="C13" s="66"/>
      <c r="D13" s="135">
        <v>9000</v>
      </c>
      <c r="E13" s="135">
        <v>9000</v>
      </c>
      <c r="F13" s="135"/>
      <c r="G13" s="135"/>
      <c r="H13" s="136"/>
      <c r="I13" s="67">
        <f t="shared" ref="I13:I18" si="0">D13-E13-F13-G13-H13</f>
        <v>0</v>
      </c>
      <c r="J13" s="182"/>
      <c r="K13" s="53"/>
      <c r="L13" s="59" t="s">
        <v>188</v>
      </c>
      <c r="M13" s="6" t="s">
        <v>2</v>
      </c>
      <c r="N13" s="202">
        <f>E19</f>
        <v>9000</v>
      </c>
      <c r="O13" s="204"/>
      <c r="P13" s="69">
        <f>SUM(N13)</f>
        <v>9000</v>
      </c>
      <c r="R13" s="160" t="s">
        <v>191</v>
      </c>
      <c r="S13" s="161"/>
      <c r="T13" s="35" t="s">
        <v>192</v>
      </c>
      <c r="U13" s="36" t="s">
        <v>193</v>
      </c>
      <c r="V13" s="163"/>
      <c r="W13" s="163"/>
      <c r="X13" s="156" t="s">
        <v>76</v>
      </c>
      <c r="Y13" s="156"/>
      <c r="Z13" s="156"/>
      <c r="AA13" s="156" t="s">
        <v>204</v>
      </c>
      <c r="AB13" s="156"/>
      <c r="AC13" s="156"/>
      <c r="AD13" s="70"/>
      <c r="AE13" s="157" t="s">
        <v>77</v>
      </c>
      <c r="AF13" s="157"/>
      <c r="AJ13" s="57" t="s">
        <v>80</v>
      </c>
      <c r="AN13" s="205" t="s">
        <v>205</v>
      </c>
      <c r="AO13" s="205"/>
      <c r="AP13" s="205"/>
      <c r="AQ13" s="205"/>
      <c r="AR13" s="205" t="s">
        <v>206</v>
      </c>
      <c r="AS13" s="205"/>
      <c r="AT13" s="205"/>
      <c r="AU13" s="205"/>
      <c r="AV13" s="205" t="s">
        <v>207</v>
      </c>
      <c r="AW13" s="205"/>
      <c r="AX13" s="205"/>
      <c r="AY13" s="205"/>
      <c r="BF13" s="53"/>
      <c r="BG13" s="53"/>
    </row>
    <row r="14" spans="1:59" s="57" customFormat="1" x14ac:dyDescent="0.15">
      <c r="A14" s="211"/>
      <c r="B14" s="134" t="s">
        <v>140</v>
      </c>
      <c r="C14" s="71"/>
      <c r="D14" s="137">
        <v>0</v>
      </c>
      <c r="E14" s="137"/>
      <c r="F14" s="137"/>
      <c r="G14" s="137"/>
      <c r="H14" s="138"/>
      <c r="I14" s="72">
        <f t="shared" si="0"/>
        <v>0</v>
      </c>
      <c r="J14" s="182"/>
      <c r="K14" s="53"/>
      <c r="L14" s="59" t="s">
        <v>189</v>
      </c>
      <c r="M14" s="6" t="s">
        <v>92</v>
      </c>
      <c r="N14" s="202">
        <f>SUM(P12:P13)</f>
        <v>11946349</v>
      </c>
      <c r="O14" s="203"/>
      <c r="P14" s="204"/>
      <c r="R14" s="59" t="s">
        <v>91</v>
      </c>
      <c r="S14" s="9" t="s">
        <v>70</v>
      </c>
      <c r="T14" s="150">
        <v>30000</v>
      </c>
      <c r="U14" s="150">
        <v>50000</v>
      </c>
      <c r="V14" s="73">
        <f>SUM(T14:U14)</f>
        <v>80000</v>
      </c>
      <c r="W14" s="74">
        <f>ROUNDDOWN(V14/V$20,3)</f>
        <v>6.0000000000000001E-3</v>
      </c>
      <c r="X14" s="73">
        <f t="shared" ref="X14:X19" si="1">ROUNDDOWN(T14*6.24/108,0)</f>
        <v>1733</v>
      </c>
      <c r="Y14" s="75">
        <f t="shared" ref="Y14:Y19" si="2">ROUNDDOWN(U14*7.8/110,0)</f>
        <v>3545</v>
      </c>
      <c r="Z14" s="75">
        <f>SUM(X14:Y14)</f>
        <v>5278</v>
      </c>
      <c r="AA14" s="75">
        <f>ROUNDDOWN(X14*$AD14,0)</f>
        <v>1559</v>
      </c>
      <c r="AB14" s="75">
        <f>ROUNDDOWN(Y14*$AD14,0)</f>
        <v>3190</v>
      </c>
      <c r="AC14" s="75">
        <f>ROUNDDOWN(Z14*$AD$14,0)</f>
        <v>4750</v>
      </c>
      <c r="AD14" s="76">
        <v>0.9</v>
      </c>
      <c r="AE14" s="74">
        <f>IF(MAX(W14:W19)=1,0,MAX(W14:W19))</f>
        <v>0.86499999999999999</v>
      </c>
      <c r="AF14" s="74">
        <f>VLOOKUP(AE14,W:AD,8,0)</f>
        <v>0.5</v>
      </c>
      <c r="AG14" s="77">
        <f>VLOOKUP(AE14,W$14:AD$19,5,FALSE)</f>
        <v>23136</v>
      </c>
      <c r="AH14" s="77">
        <f>VLOOKUP(AE14,W$14:AD$19,6,FALSE)</f>
        <v>374073</v>
      </c>
      <c r="AI14" s="77">
        <f>VLOOKUP(AE14,W$14:AD$19,7,FALSE)</f>
        <v>397209</v>
      </c>
      <c r="AJ14" s="78">
        <f>IF(AE14&gt;=0.75,AF14,0)</f>
        <v>0.5</v>
      </c>
      <c r="AK14" s="78"/>
      <c r="AL14" s="78"/>
      <c r="AM14" s="78"/>
      <c r="AN14" s="78"/>
      <c r="AO14" s="78"/>
      <c r="AP14" s="78"/>
      <c r="AQ14" s="78"/>
      <c r="AR14" s="78"/>
      <c r="AS14" s="78"/>
      <c r="AT14" s="78"/>
      <c r="AU14" s="78"/>
      <c r="AV14" s="78"/>
      <c r="AW14" s="78"/>
      <c r="AX14" s="78"/>
      <c r="AY14" s="78"/>
      <c r="AZ14" s="78"/>
      <c r="BA14" s="78"/>
      <c r="BB14" s="57">
        <f>VLOOKUP($AE$14,$W$14:$Z$19,2,FALSE)</f>
        <v>46273</v>
      </c>
      <c r="BC14" s="57">
        <f>VLOOKUP($AE$14,$W$14:$Z$19,3,FALSE)</f>
        <v>748146</v>
      </c>
      <c r="BD14" s="57">
        <f>VLOOKUP($AE$14,$W$14:$Z$19,4,FALSE)</f>
        <v>794419</v>
      </c>
      <c r="BF14" s="53"/>
      <c r="BG14" s="53"/>
    </row>
    <row r="15" spans="1:59" s="57" customFormat="1" x14ac:dyDescent="0.15">
      <c r="A15" s="211"/>
      <c r="B15" s="134"/>
      <c r="C15" s="71"/>
      <c r="D15" s="137"/>
      <c r="E15" s="137"/>
      <c r="F15" s="137"/>
      <c r="G15" s="137"/>
      <c r="H15" s="138"/>
      <c r="I15" s="72">
        <f t="shared" si="0"/>
        <v>0</v>
      </c>
      <c r="J15" s="182"/>
      <c r="K15" s="53"/>
      <c r="L15" s="179" t="s">
        <v>44</v>
      </c>
      <c r="M15" s="180"/>
      <c r="N15" s="196">
        <f>ROUNDDOWN(P12/N14,3)</f>
        <v>0.999</v>
      </c>
      <c r="O15" s="197"/>
      <c r="P15" s="198"/>
      <c r="R15" s="59" t="s">
        <v>93</v>
      </c>
      <c r="S15" s="9" t="s">
        <v>69</v>
      </c>
      <c r="T15" s="150">
        <v>40000</v>
      </c>
      <c r="U15" s="150">
        <v>120000</v>
      </c>
      <c r="V15" s="73">
        <f t="shared" ref="V15:V19" si="3">SUM(T15:U15)</f>
        <v>160000</v>
      </c>
      <c r="W15" s="74">
        <f t="shared" ref="W15:W19" si="4">ROUNDDOWN(V15/V$20,3)</f>
        <v>1.2E-2</v>
      </c>
      <c r="X15" s="73">
        <f t="shared" si="1"/>
        <v>2311</v>
      </c>
      <c r="Y15" s="75">
        <f t="shared" si="2"/>
        <v>8509</v>
      </c>
      <c r="Z15" s="75">
        <f t="shared" ref="Z15:Z19" si="5">SUM(X15:Y15)</f>
        <v>10820</v>
      </c>
      <c r="AA15" s="75">
        <f t="shared" ref="AA15:AA19" si="6">ROUNDDOWN(X15*$AD15,0)</f>
        <v>1848</v>
      </c>
      <c r="AB15" s="75">
        <f t="shared" ref="AB15:AB19" si="7">ROUNDDOWN(Y15*$AD15,0)</f>
        <v>6807</v>
      </c>
      <c r="AC15" s="75">
        <f t="shared" ref="AC15:AC19" si="8">ROUNDDOWN(Z15*AD15,0)</f>
        <v>8656</v>
      </c>
      <c r="AD15" s="76">
        <v>0.8</v>
      </c>
      <c r="AE15" s="75" t="s">
        <v>81</v>
      </c>
      <c r="AF15" s="75"/>
      <c r="AJ15" s="57" t="s">
        <v>123</v>
      </c>
      <c r="BF15" s="53"/>
      <c r="BG15" s="53"/>
    </row>
    <row r="16" spans="1:59" s="57" customFormat="1" x14ac:dyDescent="0.15">
      <c r="A16" s="211"/>
      <c r="B16" s="134"/>
      <c r="C16" s="71"/>
      <c r="D16" s="137"/>
      <c r="E16" s="137"/>
      <c r="F16" s="137"/>
      <c r="G16" s="137"/>
      <c r="H16" s="138"/>
      <c r="I16" s="72">
        <f t="shared" si="0"/>
        <v>0</v>
      </c>
      <c r="J16" s="182"/>
      <c r="K16" s="53"/>
      <c r="L16" s="179" t="s">
        <v>45</v>
      </c>
      <c r="M16" s="180"/>
      <c r="N16" s="199" t="str">
        <f>IF(N15&gt;=0.95,"不要","必要")</f>
        <v>不要</v>
      </c>
      <c r="O16" s="200"/>
      <c r="P16" s="201"/>
      <c r="R16" s="59" t="s">
        <v>94</v>
      </c>
      <c r="S16" s="9" t="s">
        <v>71</v>
      </c>
      <c r="T16" s="151">
        <v>50000</v>
      </c>
      <c r="U16" s="151">
        <v>70000</v>
      </c>
      <c r="V16" s="73">
        <f t="shared" si="3"/>
        <v>120000</v>
      </c>
      <c r="W16" s="74">
        <f t="shared" si="4"/>
        <v>8.9999999999999993E-3</v>
      </c>
      <c r="X16" s="73">
        <f t="shared" si="1"/>
        <v>2888</v>
      </c>
      <c r="Y16" s="75">
        <f t="shared" si="2"/>
        <v>4963</v>
      </c>
      <c r="Z16" s="75">
        <f t="shared" si="5"/>
        <v>7851</v>
      </c>
      <c r="AA16" s="75">
        <f t="shared" si="6"/>
        <v>2021</v>
      </c>
      <c r="AB16" s="75">
        <f t="shared" si="7"/>
        <v>3474</v>
      </c>
      <c r="AC16" s="75">
        <f t="shared" si="8"/>
        <v>5495</v>
      </c>
      <c r="AD16" s="76">
        <v>0.7</v>
      </c>
      <c r="AE16" s="74">
        <f>LARGE(W14:W19,2)</f>
        <v>9.6000000000000002E-2</v>
      </c>
      <c r="AF16" s="74">
        <f>VLOOKUP(AE16,W:AD,8,0)</f>
        <v>0.4</v>
      </c>
      <c r="AG16" s="77">
        <f>VLOOKUP(AE16,W$14:AD$19,5,FALSE)</f>
        <v>1389</v>
      </c>
      <c r="AH16" s="77">
        <f>VLOOKUP(AE16,W$14:AD$19,6,FALSE)</f>
        <v>34036</v>
      </c>
      <c r="AI16" s="77">
        <f>VLOOKUP(AE16,W$14:AD$19,7,FALSE)</f>
        <v>35425</v>
      </c>
      <c r="AJ16" s="78">
        <f>IF(AE14+AE16&gt;=0.75,MAX(AF14,AF16),0)</f>
        <v>0.5</v>
      </c>
      <c r="AK16" s="77">
        <f ca="1">OFFSET(AD14,MATCH(AJ16,AD$14:AD$19,0)-1,-3)</f>
        <v>23136</v>
      </c>
      <c r="AL16" s="77">
        <f ca="1">OFFSET(AD14,MATCH(AJ16,AD$14:AD$19,0)-1,-2)</f>
        <v>374073</v>
      </c>
      <c r="AM16" s="77">
        <f ca="1">OFFSET(AD14,MATCH(AJ16,AD$14:AD$19,0)-1,-1)</f>
        <v>397209</v>
      </c>
      <c r="AN16" s="77">
        <f ca="1">OFFSET(AD14,MATCH(AJ16,AD$14:AD$19,0)-1,-6)</f>
        <v>46273</v>
      </c>
      <c r="AO16" s="77">
        <f ca="1">ROUNDDOWN(($X$20-AN16)*BE16,0)</f>
        <v>5548</v>
      </c>
      <c r="AP16" s="78">
        <f ca="1">IF(AE14+AE16&gt;=0.75,((AK16+AO16)/$X$20))</f>
        <v>0.47692205373769619</v>
      </c>
      <c r="AQ16" s="79">
        <f ca="1">ROUNDDOWN($T$10*AP16,0)</f>
        <v>28658</v>
      </c>
      <c r="AR16" s="77">
        <f ca="1">OFFSET(AD14,MATCH(AJ16,AD$14:AD$19,0)-1,-5)</f>
        <v>748146</v>
      </c>
      <c r="AS16" s="77">
        <f ca="1">ROUNDDOWN(($Y$20-AR16)*BE16,0)</f>
        <v>43111</v>
      </c>
      <c r="AT16" s="78">
        <f ca="1">IF(AE14+AE16&gt;=0.75,((AL16+AS16)/$Y$20))</f>
        <v>0.48740719105061775</v>
      </c>
      <c r="AU16" s="79">
        <f ca="1">ROUNDDOWN($U$10*AT16,0)</f>
        <v>417168</v>
      </c>
      <c r="AV16" s="77">
        <f ca="1">OFFSET(AD14,MATCH(AJ16,AD$14:AD$19,0)-1,-4)</f>
        <v>794419</v>
      </c>
      <c r="AW16" s="77">
        <f ca="1">ROUNDDOWN(($Z$20-AV16)*BE16,0)</f>
        <v>48660</v>
      </c>
      <c r="AX16" s="78">
        <f ca="1">IF(AE14+AE16&gt;=0.75,((AM16+AW16)/$Z$20))</f>
        <v>0.48671988682075257</v>
      </c>
      <c r="AY16" s="79">
        <f ca="1">ROUNDDOWN($V$10*AX16,0)</f>
        <v>445828</v>
      </c>
      <c r="AZ16" s="77">
        <f ca="1">IF(AE14+AE16&gt;=0.75,AL16+ROUNDDOWN((Y20)*(1-BB16)*BE16,0),"-")</f>
        <v>420292</v>
      </c>
      <c r="BA16" s="77">
        <f ca="1">IF(AE14+AE16&gt;=0.75,AM16+ROUNDDOWN((Z20)*(1-BB16)*BE16,0),"-")</f>
        <v>446676</v>
      </c>
      <c r="BB16" s="80">
        <f ca="1">OFFSET(AD14,MATCH(AJ16,AD$14:AD$19,0)-1,-7)</f>
        <v>0.86499999999999999</v>
      </c>
      <c r="BC16" s="80"/>
      <c r="BD16" s="80"/>
      <c r="BE16" s="80">
        <f>IF(AE14+AE16&gt;=0.75,MIN(AF14,AF16),0)</f>
        <v>0.4</v>
      </c>
      <c r="BF16" s="53"/>
      <c r="BG16" s="53"/>
    </row>
    <row r="17" spans="1:59" s="57" customFormat="1" x14ac:dyDescent="0.15">
      <c r="A17" s="211"/>
      <c r="B17" s="134"/>
      <c r="C17" s="71"/>
      <c r="D17" s="137"/>
      <c r="E17" s="137"/>
      <c r="F17" s="137"/>
      <c r="G17" s="137"/>
      <c r="H17" s="138"/>
      <c r="I17" s="72">
        <f t="shared" si="0"/>
        <v>0</v>
      </c>
      <c r="J17" s="182"/>
      <c r="K17" s="53"/>
      <c r="L17" s="65"/>
      <c r="M17" s="65"/>
      <c r="N17" s="65"/>
      <c r="O17" s="18"/>
      <c r="P17" s="18"/>
      <c r="Q17" s="53"/>
      <c r="R17" s="59" t="s">
        <v>95</v>
      </c>
      <c r="S17" s="9" t="s">
        <v>73</v>
      </c>
      <c r="T17" s="152">
        <v>60000</v>
      </c>
      <c r="U17" s="152">
        <v>80000</v>
      </c>
      <c r="V17" s="73">
        <f t="shared" si="3"/>
        <v>140000</v>
      </c>
      <c r="W17" s="74">
        <f t="shared" si="4"/>
        <v>0.01</v>
      </c>
      <c r="X17" s="73">
        <f t="shared" si="1"/>
        <v>3466</v>
      </c>
      <c r="Y17" s="75">
        <f t="shared" si="2"/>
        <v>5672</v>
      </c>
      <c r="Z17" s="75">
        <f t="shared" si="5"/>
        <v>9138</v>
      </c>
      <c r="AA17" s="75">
        <f t="shared" si="6"/>
        <v>2079</v>
      </c>
      <c r="AB17" s="75">
        <f t="shared" si="7"/>
        <v>3403</v>
      </c>
      <c r="AC17" s="75">
        <f t="shared" si="8"/>
        <v>5482</v>
      </c>
      <c r="AD17" s="76">
        <v>0.6</v>
      </c>
      <c r="AE17" s="74" t="s">
        <v>125</v>
      </c>
      <c r="AF17" s="74"/>
      <c r="AJ17" s="57" t="s">
        <v>124</v>
      </c>
      <c r="BF17" s="53"/>
      <c r="BG17" s="53"/>
    </row>
    <row r="18" spans="1:59" s="57" customFormat="1" ht="14.25" thickBot="1" x14ac:dyDescent="0.2">
      <c r="A18" s="212"/>
      <c r="B18" s="134"/>
      <c r="C18" s="71"/>
      <c r="D18" s="137"/>
      <c r="E18" s="137"/>
      <c r="F18" s="137"/>
      <c r="G18" s="137"/>
      <c r="H18" s="138"/>
      <c r="I18" s="72">
        <f t="shared" si="0"/>
        <v>0</v>
      </c>
      <c r="J18" s="182"/>
      <c r="K18" s="53"/>
      <c r="L18" s="65"/>
      <c r="M18" s="16"/>
      <c r="N18" s="16"/>
      <c r="O18" s="20"/>
      <c r="P18" s="20"/>
      <c r="Q18" s="53"/>
      <c r="R18" s="81" t="s">
        <v>90</v>
      </c>
      <c r="S18" s="19" t="s">
        <v>72</v>
      </c>
      <c r="T18" s="82">
        <f>T20-T14-T15-T16-T17-T19</f>
        <v>800894</v>
      </c>
      <c r="U18" s="82">
        <f>U20-U14-U15-U16-U17-U19</f>
        <v>10550789</v>
      </c>
      <c r="V18" s="73">
        <f t="shared" si="3"/>
        <v>11351683</v>
      </c>
      <c r="W18" s="74">
        <f t="shared" si="4"/>
        <v>0.86499999999999999</v>
      </c>
      <c r="X18" s="73">
        <f t="shared" si="1"/>
        <v>46273</v>
      </c>
      <c r="Y18" s="75">
        <f t="shared" si="2"/>
        <v>748146</v>
      </c>
      <c r="Z18" s="75">
        <f t="shared" si="5"/>
        <v>794419</v>
      </c>
      <c r="AA18" s="75">
        <f t="shared" si="6"/>
        <v>23136</v>
      </c>
      <c r="AB18" s="75">
        <f t="shared" si="7"/>
        <v>374073</v>
      </c>
      <c r="AC18" s="75">
        <f t="shared" si="8"/>
        <v>397209</v>
      </c>
      <c r="AD18" s="76">
        <v>0.5</v>
      </c>
      <c r="AE18" s="74">
        <f>LARGE(W14:W19,3)</f>
        <v>1.2E-2</v>
      </c>
      <c r="AF18" s="74">
        <f>VLOOKUP(AE18,W:AD,8,0)</f>
        <v>0.8</v>
      </c>
      <c r="AG18" s="77">
        <f>IF(AE18=0,0,VLOOKUP(AE18,W$12:AD$17,5,FALSE))</f>
        <v>1848</v>
      </c>
      <c r="AH18" s="77">
        <f>IF(AE18=0,0,VLOOKUP(AE18,W$12:AD$17,6,FALSE))</f>
        <v>6807</v>
      </c>
      <c r="AI18" s="77">
        <f>IF(AE18=0,0,VLOOKUP(AE18,W$12:AD$17,7,FALSE))</f>
        <v>8656</v>
      </c>
      <c r="AJ18" s="78">
        <f>IF(AE14+AE18&gt;=0.75,MAX(AF14,AF18),0)</f>
        <v>0.8</v>
      </c>
      <c r="AK18" s="77">
        <f ca="1">OFFSET(AD14,MATCH(AJ18,AD$14:AD$19,0)-1,-3)</f>
        <v>1848</v>
      </c>
      <c r="AL18" s="77">
        <f ca="1">OFFSET(AD14,MATCH(AJ18,AD$14:AD$19,0)-1,-2)</f>
        <v>6807</v>
      </c>
      <c r="AM18" s="77">
        <f ca="1">OFFSET(AD14,MATCH(AJ18,AD$14:AD$19,0)-1,-1)</f>
        <v>8656</v>
      </c>
      <c r="AN18" s="77">
        <f ca="1">OFFSET(AD14,MATCH(AJ18,AD$14:AD$19,0)-1,-6)</f>
        <v>2311</v>
      </c>
      <c r="AO18" s="77">
        <f ca="1">ROUNDDOWN(($X$20-AN18)*BE18,0)</f>
        <v>28916</v>
      </c>
      <c r="AP18" s="78">
        <f ca="1">IF(AE14+AE18&gt;=0.75,((AK18+AO18)/$X$20))</f>
        <v>0.51150571960627822</v>
      </c>
      <c r="AQ18" s="79">
        <f ca="1">ROUNDDOWN($T$10*AP18,0)</f>
        <v>30736</v>
      </c>
      <c r="AR18" s="77">
        <f ca="1">OFFSET(AD14,MATCH(AJ18,AD$14:AD$19,0)-1,-5)</f>
        <v>8509</v>
      </c>
      <c r="AS18" s="77">
        <f ca="1">ROUNDDOWN(($Y$20-AR18)*BE18,0)</f>
        <v>423708</v>
      </c>
      <c r="AT18" s="78">
        <f ca="1">IF(AE14+AE18&gt;=0.75,((AL18+AS18)/$Y$20))</f>
        <v>0.50298215381020528</v>
      </c>
      <c r="AU18" s="79">
        <f ca="1">ROUNDDOWN($U$10*AT18,0)</f>
        <v>430499</v>
      </c>
      <c r="AV18" s="77">
        <f ca="1">OFFSET(AD14,MATCH(AJ18,AD$14:AD$19,0)-1,-4)</f>
        <v>10820</v>
      </c>
      <c r="AW18" s="77">
        <f ca="1">ROUNDDOWN(($Z$20-AV18)*BE18,0)</f>
        <v>452624</v>
      </c>
      <c r="AX18" s="78">
        <f ca="1">IF(AE14+AE18&gt;=0.75,((AM18+AW18)/$Z$20))</f>
        <v>0.50354285539626387</v>
      </c>
      <c r="AY18" s="79">
        <f ca="1">ROUNDDOWN($V$10*AX18,0)</f>
        <v>461237</v>
      </c>
      <c r="AZ18" s="77">
        <f ca="1">IF(AE14+AE18&gt;=0.75,AL18+ROUNDDOWN((Y20)*(1-BB18)*BE18,0),"-")</f>
        <v>429633</v>
      </c>
      <c r="BA18" s="77">
        <f ca="1">IF(AE14+AE18&gt;=0.75,AM18+ROUNDDOWN((Z20)*(1-BB18)*BE18,0),"-")</f>
        <v>461194</v>
      </c>
      <c r="BB18" s="80">
        <f ca="1">OFFSET(AD14,MATCH(AJ18,AD$14:AD$19,0)-1,-7)</f>
        <v>1.2E-2</v>
      </c>
      <c r="BC18" s="80"/>
      <c r="BD18" s="80"/>
      <c r="BE18" s="80">
        <f>IF(AE14+AE18&gt;=0.75,MIN(AF14,AF18),0)</f>
        <v>0.5</v>
      </c>
      <c r="BF18" s="53"/>
      <c r="BG18" s="53"/>
    </row>
    <row r="19" spans="1:59" s="57" customFormat="1" ht="15" thickTop="1" thickBot="1" x14ac:dyDescent="0.2">
      <c r="A19" s="83"/>
      <c r="B19" s="84" t="s">
        <v>5</v>
      </c>
      <c r="C19" s="85"/>
      <c r="D19" s="86">
        <f t="shared" ref="D19:I19" si="9">SUM(D12:D18)</f>
        <v>13120807</v>
      </c>
      <c r="E19" s="86">
        <f t="shared" si="9"/>
        <v>9000</v>
      </c>
      <c r="F19" s="86">
        <f t="shared" si="9"/>
        <v>0</v>
      </c>
      <c r="G19" s="86">
        <f t="shared" si="9"/>
        <v>0</v>
      </c>
      <c r="H19" s="87">
        <f t="shared" si="9"/>
        <v>1041018</v>
      </c>
      <c r="I19" s="88">
        <f t="shared" si="9"/>
        <v>12070789</v>
      </c>
      <c r="J19" s="183"/>
      <c r="K19" s="53"/>
      <c r="L19" s="158" t="s">
        <v>49</v>
      </c>
      <c r="M19" s="158"/>
      <c r="N19" s="158"/>
      <c r="O19" s="158"/>
      <c r="P19" s="158"/>
      <c r="Q19" s="53"/>
      <c r="R19" s="59" t="s">
        <v>178</v>
      </c>
      <c r="S19" s="9" t="s">
        <v>179</v>
      </c>
      <c r="T19" s="152">
        <v>60124</v>
      </c>
      <c r="U19" s="152">
        <v>1200000</v>
      </c>
      <c r="V19" s="73">
        <f t="shared" si="3"/>
        <v>1260124</v>
      </c>
      <c r="W19" s="74">
        <f t="shared" si="4"/>
        <v>9.6000000000000002E-2</v>
      </c>
      <c r="X19" s="73">
        <f t="shared" si="1"/>
        <v>3473</v>
      </c>
      <c r="Y19" s="75">
        <f t="shared" si="2"/>
        <v>85090</v>
      </c>
      <c r="Z19" s="75">
        <f t="shared" si="5"/>
        <v>88563</v>
      </c>
      <c r="AA19" s="75">
        <f t="shared" si="6"/>
        <v>1389</v>
      </c>
      <c r="AB19" s="75">
        <f t="shared" si="7"/>
        <v>34036</v>
      </c>
      <c r="AC19" s="75">
        <f t="shared" si="8"/>
        <v>35425</v>
      </c>
      <c r="AD19" s="76">
        <v>0.4</v>
      </c>
      <c r="AE19" s="74" t="s">
        <v>126</v>
      </c>
      <c r="AF19" s="74"/>
      <c r="AG19" s="78"/>
      <c r="AH19" s="78"/>
      <c r="AI19" s="78"/>
      <c r="AJ19" s="57" t="s">
        <v>127</v>
      </c>
      <c r="AN19" s="78"/>
      <c r="AO19" s="78"/>
      <c r="AP19" s="89"/>
      <c r="AR19" s="78"/>
      <c r="AS19" s="78"/>
      <c r="AT19" s="89"/>
      <c r="AV19" s="78"/>
      <c r="AW19" s="78"/>
      <c r="AX19" s="89"/>
      <c r="BF19" s="53"/>
      <c r="BG19" s="53"/>
    </row>
    <row r="20" spans="1:59" s="57" customFormat="1" ht="15" thickTop="1" thickBot="1" x14ac:dyDescent="0.2">
      <c r="A20" s="90"/>
      <c r="B20" s="139" t="s">
        <v>7</v>
      </c>
      <c r="C20" s="91"/>
      <c r="D20" s="137"/>
      <c r="E20" s="137"/>
      <c r="F20" s="137"/>
      <c r="G20" s="137"/>
      <c r="H20" s="138"/>
      <c r="I20" s="72">
        <f>D20-E20-F20-G20-H20</f>
        <v>0</v>
      </c>
      <c r="J20" s="182"/>
      <c r="K20" s="53"/>
      <c r="L20" s="156" t="s">
        <v>191</v>
      </c>
      <c r="M20" s="156"/>
      <c r="N20" s="38" t="s">
        <v>192</v>
      </c>
      <c r="O20" s="37" t="s">
        <v>193</v>
      </c>
      <c r="P20" s="37" t="s">
        <v>197</v>
      </c>
      <c r="Q20" s="53"/>
      <c r="R20" s="170" t="s">
        <v>64</v>
      </c>
      <c r="S20" s="170"/>
      <c r="T20" s="82">
        <f>N9</f>
        <v>1041018</v>
      </c>
      <c r="U20" s="17">
        <f>SUM(O9)</f>
        <v>12070789</v>
      </c>
      <c r="V20" s="92">
        <f>SUM(V14:V19)</f>
        <v>13111807</v>
      </c>
      <c r="W20" s="93">
        <f t="shared" ref="W20" si="10">V20/V$20</f>
        <v>1</v>
      </c>
      <c r="X20" s="92">
        <f t="shared" ref="X20:AC20" si="11">SUM(X14:X19)</f>
        <v>60144</v>
      </c>
      <c r="Y20" s="75">
        <f t="shared" si="11"/>
        <v>855925</v>
      </c>
      <c r="Z20" s="75">
        <f t="shared" si="11"/>
        <v>916069</v>
      </c>
      <c r="AA20" s="75">
        <f t="shared" si="11"/>
        <v>32032</v>
      </c>
      <c r="AB20" s="75">
        <f t="shared" si="11"/>
        <v>424983</v>
      </c>
      <c r="AC20" s="75">
        <f t="shared" si="11"/>
        <v>457017</v>
      </c>
      <c r="AD20" s="75"/>
      <c r="AE20" s="74">
        <f>LARGE(W14:W19,4)</f>
        <v>0.01</v>
      </c>
      <c r="AF20" s="74">
        <f>VLOOKUP(AE20,W:AD,8,0)</f>
        <v>0.6</v>
      </c>
      <c r="AG20" s="77">
        <f>IF(AE20=0,0,VLOOKUP(AE20,W$12:AD$17,5,FALSE))</f>
        <v>2079</v>
      </c>
      <c r="AH20" s="77">
        <f>IF(AE20=0,0,VLOOKUP(AE20,W$12:AD$17,6,FALSE))</f>
        <v>3403</v>
      </c>
      <c r="AI20" s="77">
        <f>IF(AE20=0,0,VLOOKUP(AE20,W$12:AD$17,7,FALSE))</f>
        <v>5482</v>
      </c>
      <c r="AJ20" s="78">
        <f>IF(AE14+AE20&gt;=0.75,MAX(AF14,AF20),0)</f>
        <v>0.6</v>
      </c>
      <c r="AK20" s="77">
        <f ca="1">OFFSET(AD14,MATCH(AJ20,AD$14:AD$19,0)-1,-3)</f>
        <v>2079</v>
      </c>
      <c r="AL20" s="77">
        <f ca="1">OFFSET(AD14,MATCH(AJ20,AD$14:AD$19,0)-1,-2)</f>
        <v>3403</v>
      </c>
      <c r="AM20" s="77">
        <f ca="1">OFFSET(AD14,MATCH(AJ20,AD$14:AD$19,0)-1,-1)</f>
        <v>5482</v>
      </c>
      <c r="AN20" s="77">
        <f ca="1">OFFSET(AD14,MATCH(AJ20,AD$14:AD$19,0)-1,-6)</f>
        <v>3466</v>
      </c>
      <c r="AO20" s="77">
        <f ca="1">ROUNDDOWN(($X$20-AN20)*BE20,0)</f>
        <v>28339</v>
      </c>
      <c r="AP20" s="78">
        <f ca="1">IF(AE14+AE20&gt;=0.75,((AK20+AO20)/$X$20))</f>
        <v>0.50575285980313911</v>
      </c>
      <c r="AQ20" s="79">
        <f ca="1">ROUNDDOWN($T$10*AP20,0)</f>
        <v>30391</v>
      </c>
      <c r="AR20" s="77">
        <f ca="1">OFFSET(AD14,MATCH(AJ20,AD$14:AD$19,0)-1,-5)</f>
        <v>5672</v>
      </c>
      <c r="AS20" s="77">
        <f ca="1">ROUNDDOWN(($Y$20-AR20)*BE20,0)</f>
        <v>425126</v>
      </c>
      <c r="AT20" s="78">
        <f ca="1">IF(AE14+AE20&gt;=0.75,((AL20+AS20)/$Y$20))</f>
        <v>0.5006618570552327</v>
      </c>
      <c r="AU20" s="79">
        <f ca="1">ROUNDDOWN($U$10*AT20,0)</f>
        <v>428513</v>
      </c>
      <c r="AV20" s="77">
        <f ca="1">OFFSET(AD14,MATCH(AJ20,AD$14:AD$19,0)-1,-4)</f>
        <v>9138</v>
      </c>
      <c r="AW20" s="77">
        <f ca="1">ROUNDDOWN(($Z$20-AV20)*BE20,0)</f>
        <v>453465</v>
      </c>
      <c r="AX20" s="78">
        <f ca="1">IF(AE14+AE20&gt;=0.75,((AM20+AW20)/$Z$20))</f>
        <v>0.50099610400526595</v>
      </c>
      <c r="AY20" s="79">
        <f ca="1">ROUNDDOWN($V$10*AX20,0)</f>
        <v>458904</v>
      </c>
      <c r="AZ20" s="77">
        <f ca="1">IF(AE14+AE20&gt;=0.75,AL20+ROUNDDOWN((Y20)*(1-BB18)*BE18,0),"-")</f>
        <v>426229</v>
      </c>
      <c r="BA20" s="77">
        <f ca="1">IF(AE14+AE20&gt;=0.75,AM20+ROUNDDOWN((Z20)*(1-BB18)*BE18,0),"-")</f>
        <v>458020</v>
      </c>
      <c r="BB20" s="80">
        <f ca="1">OFFSET(AD14,MATCH(AJ20,AD$14:AD$19,0)-1,-7)</f>
        <v>0.01</v>
      </c>
      <c r="BE20" s="80">
        <f>IF(AE14+AE20&gt;=0.75,MIN(AF14,AF20),0)</f>
        <v>0.5</v>
      </c>
      <c r="BF20" s="53"/>
      <c r="BG20" s="53"/>
    </row>
    <row r="21" spans="1:59" s="57" customFormat="1" ht="15" thickTop="1" thickBot="1" x14ac:dyDescent="0.2">
      <c r="A21" s="94"/>
      <c r="B21" s="95" t="s">
        <v>8</v>
      </c>
      <c r="C21" s="85"/>
      <c r="D21" s="86">
        <f t="shared" ref="D21:I21" si="12">SUM(D20)</f>
        <v>0</v>
      </c>
      <c r="E21" s="86">
        <f t="shared" si="12"/>
        <v>0</v>
      </c>
      <c r="F21" s="86">
        <f t="shared" si="12"/>
        <v>0</v>
      </c>
      <c r="G21" s="86">
        <f t="shared" si="12"/>
        <v>0</v>
      </c>
      <c r="H21" s="87">
        <f t="shared" si="12"/>
        <v>0</v>
      </c>
      <c r="I21" s="88">
        <f t="shared" si="12"/>
        <v>0</v>
      </c>
      <c r="J21" s="184"/>
      <c r="K21" s="53"/>
      <c r="L21" s="59" t="s">
        <v>91</v>
      </c>
      <c r="M21" s="6" t="s">
        <v>50</v>
      </c>
      <c r="N21" s="32">
        <f>ROUNDDOWN(N10,-3)</f>
        <v>963000</v>
      </c>
      <c r="O21" s="7">
        <f>ROUNDDOWN(O10,-3)</f>
        <v>10973000</v>
      </c>
      <c r="P21" s="7">
        <f>SUM(N21:O21)</f>
        <v>11936000</v>
      </c>
      <c r="Q21" s="53"/>
      <c r="R21" s="65"/>
      <c r="S21" s="65"/>
      <c r="T21" s="65"/>
      <c r="U21" s="21"/>
      <c r="V21" s="96"/>
      <c r="W21" s="96"/>
      <c r="X21" s="96"/>
      <c r="AE21" s="78"/>
      <c r="AF21" s="78"/>
      <c r="BF21" s="53"/>
      <c r="BG21" s="53"/>
    </row>
    <row r="22" spans="1:59" s="57" customFormat="1" ht="14.25" customHeight="1" thickTop="1" x14ac:dyDescent="0.15">
      <c r="A22" s="171" t="s">
        <v>9</v>
      </c>
      <c r="B22" s="140" t="s">
        <v>10</v>
      </c>
      <c r="C22" s="97" t="str">
        <f>J22</f>
        <v>課のみ</v>
      </c>
      <c r="D22" s="145"/>
      <c r="E22" s="145"/>
      <c r="F22" s="145"/>
      <c r="G22" s="145"/>
      <c r="H22" s="146"/>
      <c r="I22" s="98">
        <f t="shared" ref="I22:I36" si="13">D22-E22-F22-G22-H22</f>
        <v>0</v>
      </c>
      <c r="J22" s="147" t="s">
        <v>46</v>
      </c>
      <c r="K22" s="53"/>
      <c r="L22" s="59" t="s">
        <v>93</v>
      </c>
      <c r="M22" s="6" t="s">
        <v>196</v>
      </c>
      <c r="N22" s="7">
        <f>ROUNDDOWN(N21*0.0624,0)</f>
        <v>60091</v>
      </c>
      <c r="O22" s="7">
        <f>ROUNDDOWN(O21*0.078,0)</f>
        <v>855894</v>
      </c>
      <c r="P22" s="7">
        <f>SUM(N22:O22)</f>
        <v>915985</v>
      </c>
      <c r="Q22" s="53"/>
      <c r="R22" s="53"/>
      <c r="S22" s="53"/>
      <c r="T22" s="53"/>
      <c r="U22" s="53"/>
      <c r="V22" s="53"/>
      <c r="W22" s="53"/>
      <c r="X22" s="53"/>
      <c r="AE22" s="78"/>
      <c r="AF22" s="78"/>
      <c r="AJ22" s="80"/>
      <c r="AK22" s="77"/>
      <c r="AL22" s="77"/>
      <c r="AM22" s="77"/>
      <c r="AN22" s="77"/>
      <c r="AO22" s="77"/>
      <c r="AP22" s="77"/>
      <c r="AQ22" s="77"/>
      <c r="AR22" s="77"/>
      <c r="AS22" s="77"/>
      <c r="AT22" s="77"/>
      <c r="AU22" s="77"/>
      <c r="AV22" s="77"/>
      <c r="AW22" s="77"/>
      <c r="AX22" s="77"/>
      <c r="AY22" s="77"/>
      <c r="AZ22" s="77"/>
      <c r="BA22" s="77"/>
      <c r="BF22" s="53"/>
      <c r="BG22" s="53"/>
    </row>
    <row r="23" spans="1:59" s="57" customFormat="1" x14ac:dyDescent="0.15">
      <c r="A23" s="172"/>
      <c r="B23" s="140" t="s">
        <v>11</v>
      </c>
      <c r="C23" s="97" t="str">
        <f t="shared" ref="C23:C36" si="14">J23</f>
        <v>課のみ</v>
      </c>
      <c r="D23" s="145"/>
      <c r="E23" s="145"/>
      <c r="F23" s="145"/>
      <c r="G23" s="145"/>
      <c r="H23" s="146"/>
      <c r="I23" s="98">
        <f t="shared" si="13"/>
        <v>0</v>
      </c>
      <c r="J23" s="147" t="s">
        <v>46</v>
      </c>
      <c r="K23" s="53"/>
      <c r="L23" s="65"/>
      <c r="M23" s="16"/>
      <c r="N23" s="16"/>
      <c r="O23" s="24"/>
      <c r="P23" s="24"/>
      <c r="Q23" s="53"/>
      <c r="R23" s="53"/>
      <c r="S23" s="53"/>
      <c r="T23" s="53"/>
      <c r="U23" s="53"/>
      <c r="V23" s="53"/>
      <c r="W23" s="53"/>
      <c r="X23" s="53"/>
      <c r="AE23" s="78"/>
      <c r="AF23" s="78"/>
      <c r="BF23" s="53"/>
      <c r="BG23" s="53"/>
    </row>
    <row r="24" spans="1:59" s="57" customFormat="1" x14ac:dyDescent="0.15">
      <c r="A24" s="172"/>
      <c r="B24" s="135" t="s">
        <v>30</v>
      </c>
      <c r="C24" s="99" t="str">
        <f t="shared" si="14"/>
        <v>課のみ</v>
      </c>
      <c r="D24" s="135"/>
      <c r="E24" s="135"/>
      <c r="F24" s="135"/>
      <c r="G24" s="135"/>
      <c r="H24" s="136"/>
      <c r="I24" s="67">
        <f t="shared" si="13"/>
        <v>0</v>
      </c>
      <c r="J24" s="147" t="s">
        <v>46</v>
      </c>
      <c r="K24" s="53"/>
      <c r="L24" s="158" t="s">
        <v>59</v>
      </c>
      <c r="M24" s="158"/>
      <c r="N24" s="158"/>
      <c r="O24" s="158"/>
      <c r="P24" s="158"/>
      <c r="Q24" s="53"/>
      <c r="R24" s="158" t="s">
        <v>85</v>
      </c>
      <c r="S24" s="158"/>
      <c r="T24" s="158"/>
      <c r="U24" s="158"/>
      <c r="V24" s="158"/>
      <c r="W24" s="46"/>
      <c r="X24" s="46"/>
      <c r="AC24" s="155" t="s">
        <v>82</v>
      </c>
      <c r="AD24" s="155"/>
      <c r="AE24" s="155"/>
      <c r="AF24" s="100"/>
      <c r="AJ24" s="80"/>
      <c r="AK24" s="77"/>
      <c r="AL24" s="77"/>
      <c r="AM24" s="77"/>
      <c r="AN24" s="77"/>
      <c r="AO24" s="77"/>
      <c r="AP24" s="77"/>
      <c r="AQ24" s="77"/>
      <c r="AR24" s="77"/>
      <c r="AS24" s="77"/>
      <c r="AT24" s="77"/>
      <c r="AU24" s="77"/>
      <c r="AV24" s="77"/>
      <c r="AW24" s="77"/>
      <c r="AX24" s="77"/>
      <c r="AY24" s="77"/>
      <c r="AZ24" s="77"/>
      <c r="BA24" s="77"/>
      <c r="BF24" s="53"/>
      <c r="BG24" s="53"/>
    </row>
    <row r="25" spans="1:59" s="57" customFormat="1" x14ac:dyDescent="0.15">
      <c r="A25" s="172"/>
      <c r="B25" s="133" t="s">
        <v>98</v>
      </c>
      <c r="C25" s="99" t="str">
        <f t="shared" si="14"/>
        <v>課のみ</v>
      </c>
      <c r="D25" s="135"/>
      <c r="E25" s="135"/>
      <c r="F25" s="135"/>
      <c r="G25" s="135"/>
      <c r="H25" s="136"/>
      <c r="I25" s="67">
        <f t="shared" si="13"/>
        <v>0</v>
      </c>
      <c r="J25" s="147" t="s">
        <v>46</v>
      </c>
      <c r="K25" s="53"/>
      <c r="L25" s="156" t="s">
        <v>191</v>
      </c>
      <c r="M25" s="156"/>
      <c r="N25" s="38" t="s">
        <v>192</v>
      </c>
      <c r="O25" s="37" t="s">
        <v>193</v>
      </c>
      <c r="P25" s="37" t="s">
        <v>197</v>
      </c>
      <c r="Q25" s="53"/>
      <c r="R25" s="160" t="s">
        <v>191</v>
      </c>
      <c r="S25" s="161"/>
      <c r="T25" s="35" t="s">
        <v>192</v>
      </c>
      <c r="U25" s="36" t="s">
        <v>193</v>
      </c>
      <c r="V25" s="37" t="s">
        <v>197</v>
      </c>
      <c r="W25" s="34"/>
      <c r="X25" s="34"/>
      <c r="AC25" s="78">
        <f>AA20/X20</f>
        <v>0.53258845437616387</v>
      </c>
      <c r="AD25" s="78">
        <f>AB20/Y20</f>
        <v>0.49651897070420892</v>
      </c>
      <c r="AE25" s="78">
        <f>AC20/Z20</f>
        <v>0.49888927580782672</v>
      </c>
      <c r="AF25" s="78"/>
      <c r="BF25" s="53"/>
      <c r="BG25" s="53"/>
    </row>
    <row r="26" spans="1:59" s="57" customFormat="1" x14ac:dyDescent="0.15">
      <c r="A26" s="172"/>
      <c r="B26" s="133" t="s">
        <v>29</v>
      </c>
      <c r="C26" s="99" t="str">
        <f t="shared" si="14"/>
        <v>課のみ</v>
      </c>
      <c r="D26" s="135"/>
      <c r="E26" s="135"/>
      <c r="F26" s="135"/>
      <c r="G26" s="135"/>
      <c r="H26" s="136"/>
      <c r="I26" s="67">
        <f t="shared" si="13"/>
        <v>0</v>
      </c>
      <c r="J26" s="147" t="s">
        <v>46</v>
      </c>
      <c r="K26" s="53"/>
      <c r="L26" s="59" t="s">
        <v>96</v>
      </c>
      <c r="M26" s="9" t="s">
        <v>51</v>
      </c>
      <c r="N26" s="7">
        <f>H88</f>
        <v>158320</v>
      </c>
      <c r="O26" s="7">
        <f>I88</f>
        <v>9810273</v>
      </c>
      <c r="P26" s="7"/>
      <c r="Q26" s="53"/>
      <c r="R26" s="81" t="s">
        <v>96</v>
      </c>
      <c r="S26" s="19" t="s">
        <v>75</v>
      </c>
      <c r="T26" s="47">
        <f>IF(ISERROR(ROUNDDOWN(T10*$AC$25,0)),"-",ROUNDDOWN(T10*$AC$25,0))</f>
        <v>32003</v>
      </c>
      <c r="U26" s="22">
        <f>ROUNDDOWN(U10*$AD$25,0)</f>
        <v>424967</v>
      </c>
      <c r="V26" s="22">
        <f>ROUNDDOWN(V10*$AE$25,0)</f>
        <v>456975</v>
      </c>
      <c r="W26" s="53"/>
      <c r="X26" s="53"/>
      <c r="AJ26" s="80"/>
      <c r="AK26" s="77"/>
      <c r="AL26" s="77"/>
      <c r="AM26" s="77"/>
      <c r="AN26" s="77"/>
      <c r="AO26" s="77"/>
      <c r="AP26" s="77"/>
      <c r="AQ26" s="77"/>
      <c r="AR26" s="77"/>
      <c r="AS26" s="77"/>
      <c r="AT26" s="77"/>
      <c r="AU26" s="77"/>
      <c r="AV26" s="77"/>
      <c r="AW26" s="77"/>
      <c r="AX26" s="77"/>
      <c r="AY26" s="77"/>
      <c r="AZ26" s="77"/>
      <c r="BA26" s="77"/>
      <c r="BF26" s="53"/>
      <c r="BG26" s="53"/>
    </row>
    <row r="27" spans="1:59" s="57" customFormat="1" x14ac:dyDescent="0.15">
      <c r="A27" s="172"/>
      <c r="B27" s="133" t="s">
        <v>102</v>
      </c>
      <c r="C27" s="99" t="str">
        <f t="shared" si="14"/>
        <v>課のみ</v>
      </c>
      <c r="D27" s="135"/>
      <c r="E27" s="135"/>
      <c r="F27" s="135"/>
      <c r="G27" s="135"/>
      <c r="H27" s="136"/>
      <c r="I27" s="67">
        <f t="shared" si="13"/>
        <v>0</v>
      </c>
      <c r="J27" s="147" t="s">
        <v>46</v>
      </c>
      <c r="K27" s="53"/>
      <c r="L27" s="59" t="s">
        <v>97</v>
      </c>
      <c r="M27" s="6" t="s">
        <v>200</v>
      </c>
      <c r="N27" s="7">
        <f>ROUNDDOWN(N26*6.24/108,0)</f>
        <v>9147</v>
      </c>
      <c r="O27" s="7">
        <f>ROUNDDOWN(O26*7.8/110,0)</f>
        <v>695637</v>
      </c>
      <c r="P27" s="7">
        <f>SUM(N27:O27)</f>
        <v>704784</v>
      </c>
      <c r="Q27" s="53"/>
      <c r="R27" s="81" t="s">
        <v>97</v>
      </c>
      <c r="S27" s="50" t="s">
        <v>79</v>
      </c>
      <c r="T27" s="15">
        <f>IF($AE$14&gt;=0.75,ROUNDDOWN(T10*$AJ$14,0),"-")</f>
        <v>30045</v>
      </c>
      <c r="U27" s="15">
        <f>IF($AE$14&gt;=0.75,ROUNDDOWN(U10*$AJ$14,0),"-")</f>
        <v>427947</v>
      </c>
      <c r="V27" s="15">
        <f>IF($AE$14&gt;=0.75,ROUNDDOWN(V10*$AJ$14,0),"-")</f>
        <v>457992</v>
      </c>
      <c r="W27" s="53"/>
      <c r="X27" s="53"/>
      <c r="BF27" s="53"/>
      <c r="BG27" s="53"/>
    </row>
    <row r="28" spans="1:59" s="57" customFormat="1" x14ac:dyDescent="0.15">
      <c r="A28" s="172"/>
      <c r="B28" s="133" t="s">
        <v>104</v>
      </c>
      <c r="C28" s="99" t="str">
        <f t="shared" si="14"/>
        <v>課のみ</v>
      </c>
      <c r="D28" s="135"/>
      <c r="E28" s="135"/>
      <c r="F28" s="135"/>
      <c r="G28" s="135"/>
      <c r="H28" s="136"/>
      <c r="I28" s="67">
        <f t="shared" si="13"/>
        <v>0</v>
      </c>
      <c r="J28" s="147" t="s">
        <v>46</v>
      </c>
      <c r="K28" s="53"/>
      <c r="L28" s="59" t="s">
        <v>99</v>
      </c>
      <c r="M28" s="9" t="s">
        <v>52</v>
      </c>
      <c r="N28" s="149">
        <v>0</v>
      </c>
      <c r="O28" s="149">
        <v>0</v>
      </c>
      <c r="P28" s="1">
        <f>SUM(N28:O28)</f>
        <v>0</v>
      </c>
      <c r="Q28" s="53"/>
      <c r="R28" s="81" t="s">
        <v>99</v>
      </c>
      <c r="S28" s="19" t="s">
        <v>78</v>
      </c>
      <c r="T28" s="47">
        <f ca="1">IF($AQ$11&lt;=2,"-",MAX(AQ16:AQ20))</f>
        <v>30736</v>
      </c>
      <c r="U28" s="23">
        <f ca="1">IF($AQ$11&lt;=2,"-",MAX(AU16:AU20))</f>
        <v>430499</v>
      </c>
      <c r="V28" s="101">
        <f ca="1">IF($AQ$11&lt;=2,"-",MAX(AY16:AY20))</f>
        <v>461237</v>
      </c>
      <c r="W28" s="53"/>
      <c r="X28" s="53"/>
      <c r="BF28" s="53"/>
      <c r="BG28" s="53"/>
    </row>
    <row r="29" spans="1:59" s="57" customFormat="1" x14ac:dyDescent="0.15">
      <c r="A29" s="172"/>
      <c r="B29" s="133" t="s">
        <v>106</v>
      </c>
      <c r="C29" s="99" t="str">
        <f t="shared" si="14"/>
        <v>課のみ</v>
      </c>
      <c r="D29" s="135"/>
      <c r="E29" s="135"/>
      <c r="F29" s="135"/>
      <c r="G29" s="135"/>
      <c r="H29" s="136"/>
      <c r="I29" s="67">
        <f t="shared" si="13"/>
        <v>0</v>
      </c>
      <c r="J29" s="147" t="s">
        <v>46</v>
      </c>
      <c r="K29" s="53"/>
      <c r="L29" s="81" t="s">
        <v>100</v>
      </c>
      <c r="M29" s="50" t="s">
        <v>101</v>
      </c>
      <c r="N29" s="39">
        <f>SUM(N27:N28)</f>
        <v>9147</v>
      </c>
      <c r="O29" s="39">
        <f>SUM(O27:O28)</f>
        <v>695637</v>
      </c>
      <c r="P29" s="14">
        <f>SUM(P27:P28)</f>
        <v>704784</v>
      </c>
      <c r="Q29" s="53"/>
      <c r="R29" s="81" t="s">
        <v>100</v>
      </c>
      <c r="S29" s="50" t="s">
        <v>84</v>
      </c>
      <c r="T29" s="15">
        <f t="shared" ref="T29" ca="1" si="15">MAX(T26:T28)</f>
        <v>32003</v>
      </c>
      <c r="U29" s="15">
        <f ca="1">MAX(U26:U28)</f>
        <v>430499</v>
      </c>
      <c r="V29" s="15">
        <f t="shared" ref="V29" ca="1" si="16">MAX(V26:V28)</f>
        <v>461237</v>
      </c>
      <c r="W29" s="53"/>
      <c r="X29" s="53"/>
      <c r="BF29" s="53"/>
      <c r="BG29" s="53"/>
    </row>
    <row r="30" spans="1:59" s="57" customFormat="1" x14ac:dyDescent="0.15">
      <c r="A30" s="172"/>
      <c r="B30" s="133"/>
      <c r="C30" s="102">
        <f t="shared" si="14"/>
        <v>0</v>
      </c>
      <c r="D30" s="135"/>
      <c r="E30" s="135"/>
      <c r="F30" s="135"/>
      <c r="G30" s="135"/>
      <c r="H30" s="136"/>
      <c r="I30" s="67">
        <f t="shared" si="13"/>
        <v>0</v>
      </c>
      <c r="J30" s="147"/>
      <c r="K30" s="53"/>
      <c r="L30" s="81" t="s">
        <v>103</v>
      </c>
      <c r="M30" s="50" t="s">
        <v>53</v>
      </c>
      <c r="N30" s="82">
        <f t="shared" ref="N30:O30" si="17">IF($N$16="不要",N29,"-")</f>
        <v>9147</v>
      </c>
      <c r="O30" s="82">
        <f t="shared" si="17"/>
        <v>695637</v>
      </c>
      <c r="P30" s="82">
        <f>SUM(N30:O30)</f>
        <v>704784</v>
      </c>
      <c r="Q30" s="53"/>
      <c r="R30" s="81" t="s">
        <v>103</v>
      </c>
      <c r="S30" s="81" t="s">
        <v>60</v>
      </c>
      <c r="T30" s="82">
        <f>ROUNDDOWN(H21*6.24/108,0)</f>
        <v>0</v>
      </c>
      <c r="U30" s="82">
        <f>ROUNDDOWN(I21*7.8/110,0)</f>
        <v>0</v>
      </c>
      <c r="V30" s="101">
        <f>SUM(T30:U30)</f>
        <v>0</v>
      </c>
      <c r="W30" s="53"/>
      <c r="X30" s="53"/>
      <c r="BF30" s="53"/>
      <c r="BG30" s="53"/>
    </row>
    <row r="31" spans="1:59" s="57" customFormat="1" x14ac:dyDescent="0.15">
      <c r="A31" s="172"/>
      <c r="B31" s="133"/>
      <c r="C31" s="102">
        <f t="shared" si="14"/>
        <v>0</v>
      </c>
      <c r="D31" s="135"/>
      <c r="E31" s="135"/>
      <c r="F31" s="135"/>
      <c r="G31" s="135"/>
      <c r="H31" s="136"/>
      <c r="I31" s="67">
        <f t="shared" si="13"/>
        <v>0</v>
      </c>
      <c r="J31" s="147"/>
      <c r="K31" s="53"/>
      <c r="L31" s="81" t="s">
        <v>105</v>
      </c>
      <c r="M31" s="50" t="s">
        <v>57</v>
      </c>
      <c r="N31" s="82" t="str">
        <f>IF($N$16="必要",H92+ROUNDDOWN(H94*P12/N14,0),"-")</f>
        <v>-</v>
      </c>
      <c r="O31" s="82" t="str">
        <f>IF($N$16="必要",I92+ROUNDDOWN(I94*P12/N14,0),"-")</f>
        <v>-</v>
      </c>
      <c r="P31" s="82">
        <f t="shared" ref="P31:P33" si="18">SUM(N31:O31)</f>
        <v>0</v>
      </c>
      <c r="Q31" s="53"/>
      <c r="R31" s="81" t="s">
        <v>105</v>
      </c>
      <c r="S31" s="81" t="s">
        <v>61</v>
      </c>
      <c r="T31" s="82">
        <f t="shared" ref="T31" ca="1" si="19">SUM(T29:T30)</f>
        <v>32003</v>
      </c>
      <c r="U31" s="82">
        <f ca="1">SUM(U29:U30)</f>
        <v>430499</v>
      </c>
      <c r="V31" s="82">
        <f t="shared" ref="V31" ca="1" si="20">SUM(V29:V30)</f>
        <v>461237</v>
      </c>
      <c r="W31" s="53"/>
      <c r="X31" s="53"/>
      <c r="BF31" s="53"/>
      <c r="BG31" s="53"/>
    </row>
    <row r="32" spans="1:59" s="57" customFormat="1" x14ac:dyDescent="0.15">
      <c r="A32" s="172"/>
      <c r="B32" s="133"/>
      <c r="C32" s="102">
        <f t="shared" si="14"/>
        <v>0</v>
      </c>
      <c r="D32" s="135"/>
      <c r="E32" s="135"/>
      <c r="F32" s="135"/>
      <c r="G32" s="135"/>
      <c r="H32" s="136"/>
      <c r="I32" s="67">
        <f t="shared" si="13"/>
        <v>0</v>
      </c>
      <c r="J32" s="147"/>
      <c r="K32" s="53"/>
      <c r="L32" s="81" t="s">
        <v>107</v>
      </c>
      <c r="M32" s="50" t="s">
        <v>58</v>
      </c>
      <c r="N32" s="82" t="str">
        <f>IF($N$16="必要",ROUNDDOWN(SUM(H92:H94)*P12/N14,0),"-")</f>
        <v>-</v>
      </c>
      <c r="O32" s="82" t="str">
        <f>IF($N$16="必要",ROUNDDOWN(SUM(I92:I94)*P12/N14,0),"-")</f>
        <v>-</v>
      </c>
      <c r="P32" s="82">
        <f t="shared" si="18"/>
        <v>0</v>
      </c>
      <c r="Q32" s="53"/>
      <c r="R32" s="65"/>
      <c r="S32" s="16"/>
      <c r="T32" s="16"/>
      <c r="U32" s="103"/>
      <c r="V32" s="53"/>
      <c r="W32" s="53"/>
      <c r="X32" s="53"/>
      <c r="BF32" s="53"/>
      <c r="BG32" s="53"/>
    </row>
    <row r="33" spans="1:59" s="57" customFormat="1" x14ac:dyDescent="0.15">
      <c r="A33" s="172"/>
      <c r="B33" s="133"/>
      <c r="C33" s="102">
        <f t="shared" si="14"/>
        <v>0</v>
      </c>
      <c r="D33" s="135"/>
      <c r="E33" s="135"/>
      <c r="F33" s="135"/>
      <c r="G33" s="135"/>
      <c r="H33" s="136"/>
      <c r="I33" s="67">
        <f t="shared" si="13"/>
        <v>0</v>
      </c>
      <c r="J33" s="147"/>
      <c r="K33" s="53"/>
      <c r="L33" s="81" t="s">
        <v>108</v>
      </c>
      <c r="M33" s="50" t="s">
        <v>83</v>
      </c>
      <c r="N33" s="40">
        <f t="shared" ref="N33:O33" si="21">MAX(N30:N32)</f>
        <v>9147</v>
      </c>
      <c r="O33" s="40">
        <f t="shared" si="21"/>
        <v>695637</v>
      </c>
      <c r="P33" s="101">
        <f t="shared" si="18"/>
        <v>704784</v>
      </c>
      <c r="Q33" s="53"/>
      <c r="R33" s="65"/>
      <c r="S33" s="65"/>
      <c r="T33" s="65"/>
      <c r="U33" s="103"/>
      <c r="V33" s="53"/>
      <c r="W33" s="53"/>
      <c r="X33" s="53"/>
      <c r="BF33" s="53"/>
      <c r="BG33" s="53"/>
    </row>
    <row r="34" spans="1:59" s="57" customFormat="1" x14ac:dyDescent="0.15">
      <c r="A34" s="172"/>
      <c r="B34" s="133"/>
      <c r="C34" s="102">
        <f t="shared" si="14"/>
        <v>0</v>
      </c>
      <c r="D34" s="135"/>
      <c r="E34" s="135"/>
      <c r="F34" s="135"/>
      <c r="G34" s="135"/>
      <c r="H34" s="136"/>
      <c r="I34" s="67">
        <f t="shared" si="13"/>
        <v>0</v>
      </c>
      <c r="J34" s="147"/>
      <c r="K34" s="53"/>
      <c r="L34" s="81" t="s">
        <v>109</v>
      </c>
      <c r="M34" s="81" t="s">
        <v>60</v>
      </c>
      <c r="N34" s="101">
        <f>ROUNDDOWN(H21*6.24/108,0)</f>
        <v>0</v>
      </c>
      <c r="O34" s="101">
        <f>ROUNDDOWN(I21*7.8/110,0)</f>
        <v>0</v>
      </c>
      <c r="P34" s="101">
        <f>SUM(N34:O34)</f>
        <v>0</v>
      </c>
      <c r="Q34" s="53"/>
      <c r="R34" s="65"/>
      <c r="S34" s="65"/>
      <c r="T34" s="65"/>
      <c r="U34" s="103"/>
      <c r="V34" s="53"/>
      <c r="W34" s="53"/>
      <c r="X34" s="53"/>
      <c r="BF34" s="53"/>
      <c r="BG34" s="53"/>
    </row>
    <row r="35" spans="1:59" s="57" customFormat="1" x14ac:dyDescent="0.15">
      <c r="A35" s="172"/>
      <c r="B35" s="133"/>
      <c r="C35" s="99">
        <f t="shared" si="14"/>
        <v>0</v>
      </c>
      <c r="D35" s="135"/>
      <c r="E35" s="135"/>
      <c r="F35" s="135"/>
      <c r="G35" s="135"/>
      <c r="H35" s="136"/>
      <c r="I35" s="67">
        <f t="shared" si="13"/>
        <v>0</v>
      </c>
      <c r="J35" s="147"/>
      <c r="K35" s="53"/>
      <c r="L35" s="81" t="s">
        <v>110</v>
      </c>
      <c r="M35" s="81" t="s">
        <v>61</v>
      </c>
      <c r="N35" s="92">
        <f t="shared" ref="N35:O35" si="22">SUM(N33:N34)</f>
        <v>9147</v>
      </c>
      <c r="O35" s="92">
        <f t="shared" si="22"/>
        <v>695637</v>
      </c>
      <c r="P35" s="101">
        <f>SUM(N35:O35)</f>
        <v>704784</v>
      </c>
      <c r="Q35" s="53"/>
      <c r="R35" s="65"/>
      <c r="S35" s="65"/>
      <c r="T35" s="65"/>
      <c r="U35" s="103"/>
      <c r="V35" s="53"/>
      <c r="W35" s="53"/>
      <c r="X35" s="53"/>
      <c r="BF35" s="53"/>
      <c r="BG35" s="53"/>
    </row>
    <row r="36" spans="1:59" s="57" customFormat="1" ht="14.25" thickBot="1" x14ac:dyDescent="0.2">
      <c r="A36" s="172"/>
      <c r="B36" s="134"/>
      <c r="C36" s="104">
        <f t="shared" si="14"/>
        <v>0</v>
      </c>
      <c r="D36" s="137"/>
      <c r="E36" s="137"/>
      <c r="F36" s="137"/>
      <c r="G36" s="137"/>
      <c r="H36" s="138"/>
      <c r="I36" s="72">
        <f t="shared" si="13"/>
        <v>0</v>
      </c>
      <c r="J36" s="147"/>
      <c r="K36" s="53"/>
      <c r="L36" s="52"/>
      <c r="M36" s="53"/>
      <c r="N36" s="53"/>
      <c r="O36" s="53"/>
      <c r="P36" s="53"/>
      <c r="Q36" s="53"/>
      <c r="R36" s="65"/>
      <c r="S36" s="103"/>
      <c r="T36" s="103"/>
      <c r="U36" s="103"/>
      <c r="V36" s="53"/>
      <c r="W36" s="53"/>
      <c r="X36" s="53"/>
      <c r="BF36" s="53"/>
      <c r="BG36" s="53"/>
    </row>
    <row r="37" spans="1:59" s="57" customFormat="1" ht="15" thickTop="1" thickBot="1" x14ac:dyDescent="0.2">
      <c r="A37" s="172"/>
      <c r="B37" s="105" t="s">
        <v>12</v>
      </c>
      <c r="C37" s="85"/>
      <c r="D37" s="86">
        <f t="shared" ref="D37:I37" si="23">SUM(D22:D36)</f>
        <v>0</v>
      </c>
      <c r="E37" s="86">
        <f t="shared" si="23"/>
        <v>0</v>
      </c>
      <c r="F37" s="86">
        <f t="shared" si="23"/>
        <v>0</v>
      </c>
      <c r="G37" s="87">
        <f t="shared" si="23"/>
        <v>0</v>
      </c>
      <c r="H37" s="87">
        <f t="shared" si="23"/>
        <v>0</v>
      </c>
      <c r="I37" s="106">
        <f t="shared" si="23"/>
        <v>0</v>
      </c>
      <c r="J37" s="107"/>
      <c r="K37" s="53"/>
      <c r="L37" s="158" t="s">
        <v>62</v>
      </c>
      <c r="M37" s="158"/>
      <c r="N37" s="158"/>
      <c r="O37" s="158"/>
      <c r="P37" s="158"/>
      <c r="Q37" s="53"/>
      <c r="R37" s="158" t="s">
        <v>86</v>
      </c>
      <c r="S37" s="158"/>
      <c r="T37" s="158"/>
      <c r="U37" s="158"/>
      <c r="V37" s="158"/>
      <c r="W37" s="53"/>
      <c r="X37" s="53"/>
      <c r="BF37" s="53"/>
      <c r="BG37" s="53"/>
    </row>
    <row r="38" spans="1:59" s="57" customFormat="1" ht="14.25" thickTop="1" x14ac:dyDescent="0.15">
      <c r="A38" s="172"/>
      <c r="B38" s="140" t="s">
        <v>133</v>
      </c>
      <c r="C38" s="102" t="str">
        <f t="shared" ref="C38:C65" si="24">J38</f>
        <v>共通</v>
      </c>
      <c r="D38" s="145">
        <v>10620000</v>
      </c>
      <c r="E38" s="145"/>
      <c r="F38" s="145">
        <v>10620000</v>
      </c>
      <c r="G38" s="145"/>
      <c r="H38" s="146"/>
      <c r="I38" s="98">
        <f t="shared" ref="I38:I67" si="25">D38-E38-F38-G38-H38</f>
        <v>0</v>
      </c>
      <c r="J38" s="147" t="s">
        <v>47</v>
      </c>
      <c r="K38" s="53"/>
      <c r="L38" s="81" t="s">
        <v>96</v>
      </c>
      <c r="M38" s="159" t="s">
        <v>63</v>
      </c>
      <c r="N38" s="159"/>
      <c r="O38" s="159"/>
      <c r="P38" s="17">
        <f>ROUNDDOWN(P22-P35,-2)</f>
        <v>211200</v>
      </c>
      <c r="Q38" s="53"/>
      <c r="R38" s="81" t="s">
        <v>96</v>
      </c>
      <c r="S38" s="159" t="s">
        <v>63</v>
      </c>
      <c r="T38" s="159"/>
      <c r="U38" s="159"/>
      <c r="V38" s="17">
        <f ca="1">ROUNDDOWN(V10-V31,-2)</f>
        <v>454700</v>
      </c>
      <c r="W38" s="53"/>
      <c r="X38" s="53"/>
      <c r="BF38" s="53"/>
      <c r="BG38" s="53"/>
    </row>
    <row r="39" spans="1:59" s="57" customFormat="1" x14ac:dyDescent="0.15">
      <c r="A39" s="172"/>
      <c r="B39" s="140" t="s">
        <v>141</v>
      </c>
      <c r="C39" s="102" t="str">
        <f t="shared" si="24"/>
        <v>共通</v>
      </c>
      <c r="D39" s="145">
        <v>0</v>
      </c>
      <c r="E39" s="145"/>
      <c r="F39" s="145"/>
      <c r="G39" s="145"/>
      <c r="H39" s="146"/>
      <c r="I39" s="98">
        <f t="shared" si="25"/>
        <v>0</v>
      </c>
      <c r="J39" s="147" t="s">
        <v>47</v>
      </c>
      <c r="K39" s="53"/>
      <c r="L39" s="108" t="s">
        <v>97</v>
      </c>
      <c r="M39" s="159" t="s">
        <v>201</v>
      </c>
      <c r="N39" s="159"/>
      <c r="O39" s="159"/>
      <c r="P39" s="42">
        <f>ROUNDDOWN(P38*22/78,-2)</f>
        <v>59500</v>
      </c>
      <c r="Q39" s="53"/>
      <c r="R39" s="108" t="s">
        <v>97</v>
      </c>
      <c r="S39" s="159" t="s">
        <v>201</v>
      </c>
      <c r="T39" s="159"/>
      <c r="U39" s="159"/>
      <c r="V39" s="41">
        <f ca="1">ROUNDDOWN(V38*22/78,-2)</f>
        <v>128200</v>
      </c>
      <c r="W39" s="53"/>
      <c r="X39" s="53"/>
      <c r="BF39" s="53"/>
      <c r="BG39" s="53"/>
    </row>
    <row r="40" spans="1:59" s="57" customFormat="1" x14ac:dyDescent="0.15">
      <c r="A40" s="172"/>
      <c r="B40" s="140" t="s">
        <v>142</v>
      </c>
      <c r="C40" s="102" t="str">
        <f t="shared" si="24"/>
        <v>共通</v>
      </c>
      <c r="D40" s="145">
        <v>0</v>
      </c>
      <c r="E40" s="145"/>
      <c r="F40" s="145"/>
      <c r="G40" s="145"/>
      <c r="H40" s="146"/>
      <c r="I40" s="98">
        <f t="shared" si="25"/>
        <v>0</v>
      </c>
      <c r="J40" s="147" t="s">
        <v>47</v>
      </c>
      <c r="K40" s="53"/>
      <c r="L40" s="81" t="s">
        <v>203</v>
      </c>
      <c r="M40" s="170" t="s">
        <v>202</v>
      </c>
      <c r="N40" s="170"/>
      <c r="O40" s="170"/>
      <c r="P40" s="101">
        <f>SUM(P38:P39)</f>
        <v>270700</v>
      </c>
      <c r="Q40" s="53"/>
      <c r="R40" s="81" t="s">
        <v>203</v>
      </c>
      <c r="S40" s="189" t="s">
        <v>202</v>
      </c>
      <c r="T40" s="190"/>
      <c r="U40" s="191"/>
      <c r="V40" s="101">
        <f ca="1">SUM(V38:V39)</f>
        <v>582900</v>
      </c>
      <c r="W40" s="53"/>
      <c r="X40" s="53"/>
      <c r="BF40" s="53"/>
      <c r="BG40" s="53"/>
    </row>
    <row r="41" spans="1:59" s="57" customFormat="1" x14ac:dyDescent="0.15">
      <c r="A41" s="172"/>
      <c r="B41" s="140" t="s">
        <v>143</v>
      </c>
      <c r="C41" s="102" t="str">
        <f t="shared" si="24"/>
        <v>共通</v>
      </c>
      <c r="D41" s="145">
        <v>0</v>
      </c>
      <c r="E41" s="145"/>
      <c r="F41" s="145"/>
      <c r="G41" s="145"/>
      <c r="H41" s="146"/>
      <c r="I41" s="98">
        <f t="shared" si="25"/>
        <v>0</v>
      </c>
      <c r="J41" s="147" t="s">
        <v>47</v>
      </c>
      <c r="K41" s="53"/>
      <c r="L41" s="52"/>
      <c r="M41" s="53"/>
      <c r="N41" s="53"/>
      <c r="O41" s="53"/>
      <c r="P41" s="53"/>
      <c r="Q41" s="53"/>
      <c r="R41" s="52"/>
      <c r="S41" s="53"/>
      <c r="T41" s="53"/>
      <c r="U41" s="53"/>
      <c r="V41" s="53"/>
      <c r="W41" s="53"/>
      <c r="X41" s="53"/>
      <c r="BF41" s="53"/>
      <c r="BG41" s="53"/>
    </row>
    <row r="42" spans="1:59" s="57" customFormat="1" x14ac:dyDescent="0.15">
      <c r="A42" s="172"/>
      <c r="B42" s="140" t="s">
        <v>144</v>
      </c>
      <c r="C42" s="102" t="str">
        <f t="shared" si="24"/>
        <v>共通</v>
      </c>
      <c r="D42" s="145">
        <v>1300236</v>
      </c>
      <c r="E42" s="145"/>
      <c r="F42" s="145">
        <v>1300236</v>
      </c>
      <c r="G42" s="145"/>
      <c r="H42" s="146"/>
      <c r="I42" s="98">
        <f t="shared" si="25"/>
        <v>0</v>
      </c>
      <c r="J42" s="147" t="s">
        <v>47</v>
      </c>
      <c r="K42" s="53"/>
      <c r="L42" s="109" t="s">
        <v>113</v>
      </c>
      <c r="M42" s="110"/>
      <c r="N42" s="110"/>
      <c r="O42" s="110"/>
      <c r="P42" s="110"/>
      <c r="Q42" s="110"/>
      <c r="R42" s="110"/>
      <c r="S42" s="110"/>
      <c r="T42" s="110"/>
      <c r="U42" s="110"/>
      <c r="V42" s="53"/>
      <c r="W42" s="53"/>
      <c r="X42" s="53"/>
      <c r="BF42" s="53"/>
      <c r="BG42" s="53"/>
    </row>
    <row r="43" spans="1:59" s="57" customFormat="1" x14ac:dyDescent="0.15">
      <c r="A43" s="172"/>
      <c r="B43" s="140" t="s">
        <v>145</v>
      </c>
      <c r="C43" s="102" t="str">
        <f t="shared" si="24"/>
        <v>課のみ</v>
      </c>
      <c r="D43" s="145">
        <v>2253654</v>
      </c>
      <c r="E43" s="145"/>
      <c r="F43" s="145"/>
      <c r="G43" s="145"/>
      <c r="H43" s="146"/>
      <c r="I43" s="98">
        <f t="shared" si="25"/>
        <v>2253654</v>
      </c>
      <c r="J43" s="147" t="s">
        <v>46</v>
      </c>
      <c r="K43" s="53"/>
      <c r="L43" s="52"/>
      <c r="M43" s="53"/>
      <c r="N43" s="53"/>
      <c r="O43" s="53"/>
      <c r="P43" s="53"/>
      <c r="Q43" s="53"/>
      <c r="R43" s="52"/>
      <c r="S43" s="53"/>
      <c r="T43" s="53"/>
      <c r="U43" s="53"/>
      <c r="V43" s="53"/>
      <c r="W43" s="53"/>
      <c r="X43" s="53"/>
      <c r="BF43" s="53"/>
      <c r="BG43" s="53"/>
    </row>
    <row r="44" spans="1:59" s="57" customFormat="1" x14ac:dyDescent="0.15">
      <c r="A44" s="172"/>
      <c r="B44" s="140" t="s">
        <v>18</v>
      </c>
      <c r="C44" s="102" t="str">
        <f t="shared" si="24"/>
        <v>共通</v>
      </c>
      <c r="D44" s="145">
        <v>635000</v>
      </c>
      <c r="E44" s="145"/>
      <c r="F44" s="145"/>
      <c r="G44" s="145"/>
      <c r="H44" s="146"/>
      <c r="I44" s="98">
        <f t="shared" si="25"/>
        <v>635000</v>
      </c>
      <c r="J44" s="147" t="s">
        <v>47</v>
      </c>
      <c r="K44" s="53"/>
      <c r="L44" s="52"/>
      <c r="M44" s="53"/>
      <c r="N44" s="53"/>
      <c r="O44" s="53"/>
      <c r="P44" s="53"/>
      <c r="Q44" s="53"/>
      <c r="R44" s="52"/>
      <c r="S44" s="53"/>
      <c r="T44" s="53"/>
      <c r="U44" s="53"/>
      <c r="V44" s="53"/>
      <c r="W44" s="53"/>
      <c r="X44" s="53"/>
      <c r="BF44" s="53"/>
      <c r="BG44" s="53"/>
    </row>
    <row r="45" spans="1:59" s="57" customFormat="1" x14ac:dyDescent="0.15">
      <c r="A45" s="172"/>
      <c r="B45" s="140" t="s">
        <v>134</v>
      </c>
      <c r="C45" s="102" t="str">
        <f t="shared" si="24"/>
        <v>共通</v>
      </c>
      <c r="D45" s="145">
        <v>783221</v>
      </c>
      <c r="E45" s="145"/>
      <c r="F45" s="145"/>
      <c r="G45" s="145"/>
      <c r="H45" s="146">
        <v>158320</v>
      </c>
      <c r="I45" s="98">
        <f t="shared" si="25"/>
        <v>624901</v>
      </c>
      <c r="J45" s="147" t="s">
        <v>47</v>
      </c>
      <c r="K45" s="53"/>
      <c r="L45" s="52"/>
      <c r="M45" s="53"/>
      <c r="N45" s="53"/>
      <c r="O45" s="53"/>
      <c r="P45" s="53"/>
      <c r="Q45" s="53"/>
      <c r="R45" s="52"/>
      <c r="S45" s="53"/>
      <c r="T45" s="53"/>
      <c r="U45" s="53"/>
      <c r="V45" s="53"/>
      <c r="W45" s="53"/>
      <c r="X45" s="53"/>
      <c r="BF45" s="53"/>
      <c r="BG45" s="53"/>
    </row>
    <row r="46" spans="1:59" s="57" customFormat="1" x14ac:dyDescent="0.15">
      <c r="A46" s="172"/>
      <c r="B46" s="140" t="s">
        <v>135</v>
      </c>
      <c r="C46" s="102" t="str">
        <f t="shared" si="24"/>
        <v>共通</v>
      </c>
      <c r="D46" s="145">
        <v>52633</v>
      </c>
      <c r="E46" s="145"/>
      <c r="F46" s="145"/>
      <c r="G46" s="145"/>
      <c r="H46" s="146"/>
      <c r="I46" s="98">
        <f t="shared" si="25"/>
        <v>52633</v>
      </c>
      <c r="J46" s="147" t="s">
        <v>47</v>
      </c>
      <c r="K46" s="53"/>
      <c r="L46" s="52"/>
      <c r="M46" s="53"/>
      <c r="N46" s="53"/>
      <c r="O46" s="53"/>
      <c r="P46" s="53"/>
      <c r="Q46" s="53"/>
      <c r="R46" s="52"/>
      <c r="S46" s="53"/>
      <c r="T46" s="53"/>
      <c r="U46" s="53"/>
      <c r="V46" s="53"/>
      <c r="W46" s="53"/>
      <c r="X46" s="53"/>
      <c r="BF46" s="53"/>
      <c r="BG46" s="53"/>
    </row>
    <row r="47" spans="1:59" s="57" customFormat="1" x14ac:dyDescent="0.15">
      <c r="A47" s="172"/>
      <c r="B47" s="140" t="s">
        <v>16</v>
      </c>
      <c r="C47" s="102" t="str">
        <f t="shared" si="24"/>
        <v>共通</v>
      </c>
      <c r="D47" s="145">
        <v>856321</v>
      </c>
      <c r="E47" s="145"/>
      <c r="F47" s="145"/>
      <c r="G47" s="145"/>
      <c r="H47" s="146"/>
      <c r="I47" s="98">
        <f t="shared" si="25"/>
        <v>856321</v>
      </c>
      <c r="J47" s="147" t="s">
        <v>47</v>
      </c>
      <c r="K47" s="53"/>
      <c r="L47" s="52"/>
      <c r="M47" s="53"/>
      <c r="N47" s="53"/>
      <c r="O47" s="53"/>
      <c r="P47" s="53"/>
      <c r="Q47" s="53"/>
      <c r="R47" s="52"/>
      <c r="S47" s="53"/>
      <c r="T47" s="53"/>
      <c r="U47" s="53"/>
      <c r="V47" s="110"/>
      <c r="W47" s="53"/>
      <c r="X47" s="53"/>
      <c r="BF47" s="53"/>
      <c r="BG47" s="53"/>
    </row>
    <row r="48" spans="1:59" s="57" customFormat="1" x14ac:dyDescent="0.15">
      <c r="A48" s="172"/>
      <c r="B48" s="140" t="s">
        <v>17</v>
      </c>
      <c r="C48" s="102" t="str">
        <f t="shared" si="24"/>
        <v>共通</v>
      </c>
      <c r="D48" s="145">
        <v>452321</v>
      </c>
      <c r="E48" s="145"/>
      <c r="F48" s="145"/>
      <c r="G48" s="145"/>
      <c r="H48" s="146"/>
      <c r="I48" s="98">
        <f t="shared" si="25"/>
        <v>452321</v>
      </c>
      <c r="J48" s="147" t="s">
        <v>47</v>
      </c>
      <c r="K48" s="53"/>
      <c r="L48" s="52"/>
      <c r="M48" s="53"/>
      <c r="N48" s="53"/>
      <c r="O48" s="53"/>
      <c r="P48" s="53"/>
      <c r="Q48" s="53"/>
      <c r="R48" s="52"/>
      <c r="S48" s="53"/>
      <c r="T48" s="53"/>
      <c r="U48" s="53"/>
      <c r="V48" s="53"/>
      <c r="W48" s="110"/>
      <c r="X48" s="110"/>
      <c r="BF48" s="53"/>
      <c r="BG48" s="53"/>
    </row>
    <row r="49" spans="1:59" s="57" customFormat="1" x14ac:dyDescent="0.15">
      <c r="A49" s="172"/>
      <c r="B49" s="140" t="s">
        <v>19</v>
      </c>
      <c r="C49" s="102" t="str">
        <f t="shared" si="24"/>
        <v>共通</v>
      </c>
      <c r="D49" s="145">
        <v>900000</v>
      </c>
      <c r="E49" s="145"/>
      <c r="F49" s="145"/>
      <c r="G49" s="145"/>
      <c r="H49" s="146"/>
      <c r="I49" s="98">
        <f t="shared" si="25"/>
        <v>900000</v>
      </c>
      <c r="J49" s="147" t="s">
        <v>47</v>
      </c>
      <c r="K49" s="53"/>
      <c r="L49" s="52"/>
      <c r="M49" s="53"/>
      <c r="N49" s="53"/>
      <c r="O49" s="53"/>
      <c r="P49" s="53"/>
      <c r="Q49" s="53"/>
      <c r="R49" s="52"/>
      <c r="S49" s="53"/>
      <c r="T49" s="53"/>
      <c r="U49" s="53"/>
      <c r="V49" s="53"/>
      <c r="W49" s="53"/>
      <c r="X49" s="53"/>
      <c r="BF49" s="53"/>
      <c r="BG49" s="53"/>
    </row>
    <row r="50" spans="1:59" s="57" customFormat="1" x14ac:dyDescent="0.15">
      <c r="A50" s="172"/>
      <c r="B50" s="140" t="s">
        <v>146</v>
      </c>
      <c r="C50" s="102" t="str">
        <f t="shared" si="24"/>
        <v>共通</v>
      </c>
      <c r="D50" s="145">
        <v>0</v>
      </c>
      <c r="E50" s="145"/>
      <c r="F50" s="145"/>
      <c r="G50" s="145"/>
      <c r="H50" s="146"/>
      <c r="I50" s="98">
        <f t="shared" si="25"/>
        <v>0</v>
      </c>
      <c r="J50" s="147" t="s">
        <v>47</v>
      </c>
      <c r="K50" s="53"/>
      <c r="L50" s="52"/>
      <c r="M50" s="53"/>
      <c r="N50" s="53"/>
      <c r="O50" s="53"/>
      <c r="P50" s="53"/>
      <c r="Q50" s="53"/>
      <c r="R50" s="52"/>
      <c r="S50" s="53"/>
      <c r="T50" s="53"/>
      <c r="U50" s="53"/>
      <c r="V50" s="53"/>
      <c r="W50" s="53"/>
      <c r="X50" s="53"/>
      <c r="BF50" s="53"/>
      <c r="BG50" s="53"/>
    </row>
    <row r="51" spans="1:59" s="57" customFormat="1" x14ac:dyDescent="0.15">
      <c r="A51" s="172"/>
      <c r="B51" s="140" t="s">
        <v>15</v>
      </c>
      <c r="C51" s="102" t="str">
        <f t="shared" si="24"/>
        <v>共通</v>
      </c>
      <c r="D51" s="145">
        <v>180321</v>
      </c>
      <c r="E51" s="145"/>
      <c r="F51" s="145"/>
      <c r="G51" s="145"/>
      <c r="H51" s="146"/>
      <c r="I51" s="98">
        <f t="shared" si="25"/>
        <v>180321</v>
      </c>
      <c r="J51" s="147" t="s">
        <v>47</v>
      </c>
      <c r="K51" s="53"/>
      <c r="L51" s="52"/>
      <c r="M51" s="53"/>
      <c r="N51" s="53"/>
      <c r="O51" s="53"/>
      <c r="P51" s="53"/>
      <c r="Q51" s="53"/>
      <c r="R51" s="52"/>
      <c r="S51" s="53"/>
      <c r="T51" s="53"/>
      <c r="U51" s="53"/>
      <c r="V51" s="53"/>
      <c r="W51" s="53"/>
      <c r="X51" s="53"/>
      <c r="BF51" s="53"/>
      <c r="BG51" s="53"/>
    </row>
    <row r="52" spans="1:59" s="57" customFormat="1" x14ac:dyDescent="0.15">
      <c r="A52" s="172"/>
      <c r="B52" s="140" t="s">
        <v>136</v>
      </c>
      <c r="C52" s="102" t="str">
        <f t="shared" si="24"/>
        <v>共通</v>
      </c>
      <c r="D52" s="145">
        <v>245622</v>
      </c>
      <c r="E52" s="145"/>
      <c r="F52" s="145"/>
      <c r="G52" s="145"/>
      <c r="H52" s="146"/>
      <c r="I52" s="98">
        <f t="shared" si="25"/>
        <v>245622</v>
      </c>
      <c r="J52" s="147" t="s">
        <v>47</v>
      </c>
      <c r="K52" s="53"/>
      <c r="L52" s="52"/>
      <c r="M52" s="53"/>
      <c r="N52" s="53"/>
      <c r="O52" s="53"/>
      <c r="P52" s="53"/>
      <c r="Q52" s="53"/>
      <c r="R52" s="52"/>
      <c r="S52" s="53"/>
      <c r="T52" s="53"/>
      <c r="U52" s="53"/>
      <c r="V52" s="53"/>
      <c r="W52" s="53"/>
      <c r="X52" s="53"/>
      <c r="BF52" s="53"/>
      <c r="BG52" s="53"/>
    </row>
    <row r="53" spans="1:59" s="57" customFormat="1" x14ac:dyDescent="0.15">
      <c r="A53" s="172"/>
      <c r="B53" s="140" t="s">
        <v>137</v>
      </c>
      <c r="C53" s="102" t="str">
        <f t="shared" si="24"/>
        <v>共通</v>
      </c>
      <c r="D53" s="145">
        <v>180000</v>
      </c>
      <c r="E53" s="145"/>
      <c r="F53" s="145">
        <v>180000</v>
      </c>
      <c r="G53" s="145"/>
      <c r="H53" s="146"/>
      <c r="I53" s="98">
        <f t="shared" si="25"/>
        <v>0</v>
      </c>
      <c r="J53" s="147" t="s">
        <v>47</v>
      </c>
      <c r="K53" s="53"/>
      <c r="L53" s="52"/>
      <c r="M53" s="53"/>
      <c r="N53" s="53"/>
      <c r="O53" s="53"/>
      <c r="P53" s="53"/>
      <c r="Q53" s="53"/>
      <c r="R53" s="52"/>
      <c r="S53" s="53"/>
      <c r="T53" s="53"/>
      <c r="U53" s="53"/>
      <c r="V53" s="53"/>
      <c r="W53" s="53"/>
      <c r="X53" s="53"/>
      <c r="BF53" s="53"/>
      <c r="BG53" s="53"/>
    </row>
    <row r="54" spans="1:59" s="57" customFormat="1" x14ac:dyDescent="0.15">
      <c r="A54" s="172"/>
      <c r="B54" s="140" t="s">
        <v>147</v>
      </c>
      <c r="C54" s="102" t="str">
        <f t="shared" si="24"/>
        <v>共通</v>
      </c>
      <c r="D54" s="145">
        <v>840000</v>
      </c>
      <c r="E54" s="145"/>
      <c r="F54" s="145"/>
      <c r="G54" s="145"/>
      <c r="H54" s="146"/>
      <c r="I54" s="98">
        <f t="shared" si="25"/>
        <v>840000</v>
      </c>
      <c r="J54" s="147" t="s">
        <v>47</v>
      </c>
      <c r="K54" s="53"/>
      <c r="L54" s="52"/>
      <c r="M54" s="53"/>
      <c r="N54" s="53"/>
      <c r="O54" s="53"/>
      <c r="P54" s="53"/>
      <c r="Q54" s="53"/>
      <c r="R54" s="52"/>
      <c r="S54" s="53"/>
      <c r="T54" s="53"/>
      <c r="U54" s="53"/>
      <c r="V54" s="53"/>
      <c r="W54" s="53"/>
      <c r="X54" s="53"/>
      <c r="BF54" s="53"/>
      <c r="BG54" s="53"/>
    </row>
    <row r="55" spans="1:59" s="57" customFormat="1" x14ac:dyDescent="0.15">
      <c r="A55" s="172"/>
      <c r="B55" s="140" t="s">
        <v>138</v>
      </c>
      <c r="C55" s="102" t="str">
        <f t="shared" si="24"/>
        <v>共通</v>
      </c>
      <c r="D55" s="145">
        <v>325000</v>
      </c>
      <c r="E55" s="145"/>
      <c r="F55" s="145"/>
      <c r="G55" s="145"/>
      <c r="H55" s="146"/>
      <c r="I55" s="98">
        <f t="shared" si="25"/>
        <v>325000</v>
      </c>
      <c r="J55" s="147" t="s">
        <v>47</v>
      </c>
      <c r="K55" s="53"/>
      <c r="L55" s="52"/>
      <c r="M55" s="53"/>
      <c r="N55" s="53"/>
      <c r="O55" s="53"/>
      <c r="P55" s="53"/>
      <c r="Q55" s="53"/>
      <c r="R55" s="52"/>
      <c r="S55" s="53"/>
      <c r="T55" s="53"/>
      <c r="U55" s="53"/>
      <c r="V55" s="53"/>
      <c r="W55" s="53"/>
      <c r="X55" s="53"/>
      <c r="BF55" s="53"/>
      <c r="BG55" s="53"/>
    </row>
    <row r="56" spans="1:59" s="57" customFormat="1" x14ac:dyDescent="0.15">
      <c r="A56" s="172"/>
      <c r="B56" s="140" t="s">
        <v>28</v>
      </c>
      <c r="C56" s="102" t="str">
        <f t="shared" si="24"/>
        <v>共通</v>
      </c>
      <c r="D56" s="145">
        <v>1440000</v>
      </c>
      <c r="E56" s="145"/>
      <c r="F56" s="145"/>
      <c r="G56" s="145"/>
      <c r="H56" s="146"/>
      <c r="I56" s="98">
        <f t="shared" si="25"/>
        <v>1440000</v>
      </c>
      <c r="J56" s="147" t="s">
        <v>47</v>
      </c>
      <c r="K56" s="53"/>
      <c r="L56" s="52"/>
      <c r="M56" s="53"/>
      <c r="N56" s="53"/>
      <c r="O56" s="53"/>
      <c r="P56" s="53"/>
      <c r="Q56" s="53"/>
      <c r="R56" s="52"/>
      <c r="S56" s="53"/>
      <c r="T56" s="53"/>
      <c r="U56" s="53"/>
      <c r="V56" s="53"/>
      <c r="W56" s="53"/>
      <c r="X56" s="53"/>
      <c r="BF56" s="53"/>
      <c r="BG56" s="53"/>
    </row>
    <row r="57" spans="1:59" s="57" customFormat="1" x14ac:dyDescent="0.15">
      <c r="A57" s="172"/>
      <c r="B57" s="140" t="s">
        <v>148</v>
      </c>
      <c r="C57" s="102" t="str">
        <f t="shared" si="24"/>
        <v>共通</v>
      </c>
      <c r="D57" s="145">
        <v>240000</v>
      </c>
      <c r="E57" s="145"/>
      <c r="F57" s="145"/>
      <c r="G57" s="145"/>
      <c r="H57" s="146"/>
      <c r="I57" s="98">
        <f t="shared" si="25"/>
        <v>240000</v>
      </c>
      <c r="J57" s="147" t="s">
        <v>47</v>
      </c>
      <c r="K57" s="53"/>
      <c r="L57" s="52"/>
      <c r="M57" s="53"/>
      <c r="N57" s="53"/>
      <c r="O57" s="53"/>
      <c r="P57" s="53"/>
      <c r="Q57" s="53"/>
      <c r="R57" s="52"/>
      <c r="S57" s="53"/>
      <c r="T57" s="53"/>
      <c r="U57" s="53"/>
      <c r="V57" s="53"/>
      <c r="W57" s="53"/>
      <c r="X57" s="53"/>
      <c r="BF57" s="53"/>
      <c r="BG57" s="53"/>
    </row>
    <row r="58" spans="1:59" s="57" customFormat="1" x14ac:dyDescent="0.15">
      <c r="A58" s="172"/>
      <c r="B58" s="140" t="s">
        <v>149</v>
      </c>
      <c r="C58" s="102" t="str">
        <f t="shared" si="24"/>
        <v>共通</v>
      </c>
      <c r="D58" s="145"/>
      <c r="E58" s="145"/>
      <c r="F58" s="145"/>
      <c r="G58" s="145"/>
      <c r="H58" s="146"/>
      <c r="I58" s="98">
        <f t="shared" si="25"/>
        <v>0</v>
      </c>
      <c r="J58" s="147" t="s">
        <v>47</v>
      </c>
      <c r="K58" s="53"/>
      <c r="L58" s="52"/>
      <c r="M58" s="53"/>
      <c r="N58" s="53"/>
      <c r="O58" s="53"/>
      <c r="P58" s="53"/>
      <c r="Q58" s="53"/>
      <c r="R58" s="52"/>
      <c r="S58" s="53"/>
      <c r="T58" s="53"/>
      <c r="U58" s="53"/>
      <c r="V58" s="53"/>
      <c r="W58" s="53"/>
      <c r="X58" s="53"/>
      <c r="BF58" s="53"/>
      <c r="BG58" s="53"/>
    </row>
    <row r="59" spans="1:59" s="57" customFormat="1" x14ac:dyDescent="0.15">
      <c r="A59" s="172"/>
      <c r="B59" s="140" t="s">
        <v>150</v>
      </c>
      <c r="C59" s="102" t="str">
        <f t="shared" si="24"/>
        <v>共通</v>
      </c>
      <c r="D59" s="145">
        <v>45000</v>
      </c>
      <c r="E59" s="145"/>
      <c r="F59" s="145">
        <v>45000</v>
      </c>
      <c r="G59" s="145"/>
      <c r="H59" s="146"/>
      <c r="I59" s="98">
        <f t="shared" si="25"/>
        <v>0</v>
      </c>
      <c r="J59" s="147" t="s">
        <v>47</v>
      </c>
      <c r="K59" s="53"/>
      <c r="L59" s="52"/>
      <c r="M59" s="53"/>
      <c r="N59" s="53"/>
      <c r="O59" s="53"/>
      <c r="P59" s="53"/>
      <c r="Q59" s="53"/>
      <c r="R59" s="52"/>
      <c r="S59" s="53"/>
      <c r="T59" s="53"/>
      <c r="U59" s="53"/>
      <c r="V59" s="53"/>
      <c r="W59" s="53"/>
      <c r="X59" s="53"/>
      <c r="BF59" s="53"/>
      <c r="BG59" s="53"/>
    </row>
    <row r="60" spans="1:59" s="57" customFormat="1" x14ac:dyDescent="0.15">
      <c r="A60" s="172"/>
      <c r="B60" s="140" t="s">
        <v>14</v>
      </c>
      <c r="C60" s="102" t="str">
        <f t="shared" si="24"/>
        <v>共通</v>
      </c>
      <c r="D60" s="145">
        <v>410000</v>
      </c>
      <c r="E60" s="145"/>
      <c r="F60" s="145">
        <v>410000</v>
      </c>
      <c r="G60" s="145"/>
      <c r="H60" s="146"/>
      <c r="I60" s="98">
        <f t="shared" si="25"/>
        <v>0</v>
      </c>
      <c r="J60" s="147" t="s">
        <v>47</v>
      </c>
      <c r="K60" s="53"/>
      <c r="L60" s="52"/>
      <c r="M60" s="53"/>
      <c r="N60" s="53"/>
      <c r="O60" s="53"/>
      <c r="P60" s="53"/>
      <c r="Q60" s="53"/>
      <c r="R60" s="52"/>
      <c r="S60" s="53"/>
      <c r="T60" s="53"/>
      <c r="U60" s="53"/>
      <c r="V60" s="53"/>
      <c r="W60" s="53"/>
      <c r="X60" s="53"/>
      <c r="BF60" s="53"/>
      <c r="BG60" s="53"/>
    </row>
    <row r="61" spans="1:59" s="57" customFormat="1" x14ac:dyDescent="0.15">
      <c r="A61" s="172"/>
      <c r="B61" s="140" t="s">
        <v>151</v>
      </c>
      <c r="C61" s="102" t="str">
        <f t="shared" si="24"/>
        <v>共通</v>
      </c>
      <c r="D61" s="145"/>
      <c r="E61" s="145"/>
      <c r="F61" s="145"/>
      <c r="G61" s="145"/>
      <c r="H61" s="146"/>
      <c r="I61" s="98">
        <f t="shared" si="25"/>
        <v>0</v>
      </c>
      <c r="J61" s="147" t="s">
        <v>47</v>
      </c>
      <c r="K61" s="53"/>
      <c r="L61" s="52"/>
      <c r="M61" s="53"/>
      <c r="N61" s="53"/>
      <c r="O61" s="53"/>
      <c r="P61" s="53"/>
      <c r="Q61" s="53"/>
      <c r="R61" s="52"/>
      <c r="S61" s="53"/>
      <c r="T61" s="53"/>
      <c r="U61" s="53"/>
      <c r="V61" s="53"/>
      <c r="W61" s="53"/>
      <c r="X61" s="53"/>
      <c r="BF61" s="53"/>
      <c r="BG61" s="53"/>
    </row>
    <row r="62" spans="1:59" s="57" customFormat="1" x14ac:dyDescent="0.15">
      <c r="A62" s="172"/>
      <c r="B62" s="140" t="s">
        <v>20</v>
      </c>
      <c r="C62" s="102" t="str">
        <f t="shared" si="24"/>
        <v>共通</v>
      </c>
      <c r="D62" s="145">
        <v>400000</v>
      </c>
      <c r="E62" s="145"/>
      <c r="F62" s="145">
        <v>400000</v>
      </c>
      <c r="G62" s="145"/>
      <c r="H62" s="146"/>
      <c r="I62" s="98">
        <f t="shared" si="25"/>
        <v>0</v>
      </c>
      <c r="J62" s="147" t="s">
        <v>47</v>
      </c>
      <c r="K62" s="53"/>
      <c r="L62" s="52"/>
      <c r="M62" s="53"/>
      <c r="N62" s="53"/>
      <c r="O62" s="53"/>
      <c r="P62" s="53"/>
      <c r="Q62" s="53"/>
      <c r="R62" s="52"/>
      <c r="S62" s="53"/>
      <c r="T62" s="53"/>
      <c r="U62" s="53"/>
      <c r="V62" s="53"/>
      <c r="W62" s="53"/>
      <c r="X62" s="53"/>
      <c r="BF62" s="53"/>
      <c r="BG62" s="53"/>
    </row>
    <row r="63" spans="1:59" s="57" customFormat="1" x14ac:dyDescent="0.15">
      <c r="A63" s="172"/>
      <c r="B63" s="140" t="s">
        <v>152</v>
      </c>
      <c r="C63" s="102" t="str">
        <f t="shared" si="24"/>
        <v>共通</v>
      </c>
      <c r="D63" s="145"/>
      <c r="E63" s="145"/>
      <c r="F63" s="145"/>
      <c r="G63" s="145"/>
      <c r="H63" s="146"/>
      <c r="I63" s="98">
        <f t="shared" si="25"/>
        <v>0</v>
      </c>
      <c r="J63" s="147" t="s">
        <v>47</v>
      </c>
      <c r="K63" s="53"/>
      <c r="L63" s="52"/>
      <c r="M63" s="53"/>
      <c r="N63" s="53"/>
      <c r="O63" s="53"/>
      <c r="P63" s="53"/>
      <c r="Q63" s="53"/>
      <c r="R63" s="52"/>
      <c r="S63" s="53"/>
      <c r="T63" s="53"/>
      <c r="U63" s="53"/>
      <c r="V63" s="53"/>
      <c r="W63" s="53"/>
      <c r="X63" s="53"/>
      <c r="BF63" s="53"/>
      <c r="BG63" s="53"/>
    </row>
    <row r="64" spans="1:59" s="57" customFormat="1" x14ac:dyDescent="0.15">
      <c r="A64" s="172"/>
      <c r="B64" s="140" t="s">
        <v>21</v>
      </c>
      <c r="C64" s="102" t="str">
        <f t="shared" si="24"/>
        <v>共通</v>
      </c>
      <c r="D64" s="145">
        <v>256000</v>
      </c>
      <c r="E64" s="145"/>
      <c r="F64" s="145">
        <v>6000</v>
      </c>
      <c r="G64" s="145"/>
      <c r="H64" s="146"/>
      <c r="I64" s="98">
        <f t="shared" si="25"/>
        <v>250000</v>
      </c>
      <c r="J64" s="147" t="s">
        <v>47</v>
      </c>
      <c r="K64" s="53"/>
      <c r="L64" s="52"/>
      <c r="M64" s="53"/>
      <c r="N64" s="53"/>
      <c r="O64" s="53"/>
      <c r="P64" s="53"/>
      <c r="Q64" s="53"/>
      <c r="R64" s="52"/>
      <c r="S64" s="53"/>
      <c r="T64" s="53"/>
      <c r="U64" s="53"/>
      <c r="V64" s="53"/>
      <c r="W64" s="53"/>
      <c r="X64" s="53"/>
      <c r="BF64" s="53"/>
      <c r="BG64" s="53"/>
    </row>
    <row r="65" spans="1:59" s="57" customFormat="1" x14ac:dyDescent="0.15">
      <c r="A65" s="172"/>
      <c r="B65" s="140" t="s">
        <v>153</v>
      </c>
      <c r="C65" s="102" t="str">
        <f t="shared" si="24"/>
        <v>共通</v>
      </c>
      <c r="D65" s="145">
        <v>514500</v>
      </c>
      <c r="E65" s="145"/>
      <c r="F65" s="145"/>
      <c r="G65" s="145"/>
      <c r="H65" s="146"/>
      <c r="I65" s="98">
        <f t="shared" si="25"/>
        <v>514500</v>
      </c>
      <c r="J65" s="147" t="s">
        <v>47</v>
      </c>
      <c r="K65" s="53"/>
      <c r="L65" s="52"/>
      <c r="M65" s="53"/>
      <c r="N65" s="53"/>
      <c r="O65" s="53"/>
      <c r="P65" s="53"/>
      <c r="Q65" s="53"/>
      <c r="R65" s="52"/>
      <c r="S65" s="53"/>
      <c r="T65" s="53"/>
      <c r="U65" s="53"/>
      <c r="V65" s="53"/>
      <c r="W65" s="53"/>
      <c r="X65" s="53"/>
      <c r="BF65" s="53"/>
      <c r="BG65" s="53"/>
    </row>
    <row r="66" spans="1:59" s="57" customFormat="1" x14ac:dyDescent="0.15">
      <c r="A66" s="172"/>
      <c r="B66" s="140"/>
      <c r="C66" s="102" t="str">
        <f>J66</f>
        <v>共通</v>
      </c>
      <c r="D66" s="145"/>
      <c r="E66" s="145"/>
      <c r="F66" s="145"/>
      <c r="G66" s="145"/>
      <c r="H66" s="146"/>
      <c r="I66" s="98">
        <f t="shared" si="25"/>
        <v>0</v>
      </c>
      <c r="J66" s="147" t="s">
        <v>47</v>
      </c>
      <c r="K66" s="53"/>
      <c r="L66" s="52"/>
      <c r="M66" s="53"/>
      <c r="N66" s="53"/>
      <c r="O66" s="53"/>
      <c r="P66" s="53"/>
      <c r="Q66" s="53"/>
      <c r="R66" s="52"/>
      <c r="S66" s="53"/>
      <c r="T66" s="53"/>
      <c r="U66" s="53"/>
      <c r="V66" s="53"/>
      <c r="W66" s="53"/>
      <c r="X66" s="53"/>
      <c r="BF66" s="53"/>
      <c r="BG66" s="53"/>
    </row>
    <row r="67" spans="1:59" s="57" customFormat="1" ht="14.25" thickBot="1" x14ac:dyDescent="0.2">
      <c r="A67" s="172"/>
      <c r="B67" s="140"/>
      <c r="C67" s="102" t="str">
        <f>J67</f>
        <v>共通</v>
      </c>
      <c r="D67" s="145"/>
      <c r="E67" s="145"/>
      <c r="F67" s="145"/>
      <c r="G67" s="145"/>
      <c r="H67" s="146"/>
      <c r="I67" s="98">
        <f t="shared" si="25"/>
        <v>0</v>
      </c>
      <c r="J67" s="147" t="s">
        <v>47</v>
      </c>
      <c r="K67" s="53"/>
      <c r="L67" s="53"/>
      <c r="M67" s="53"/>
      <c r="N67" s="53"/>
      <c r="O67" s="53"/>
      <c r="P67" s="53"/>
      <c r="Q67" s="53"/>
      <c r="R67" s="52"/>
      <c r="S67" s="53"/>
      <c r="T67" s="53"/>
      <c r="U67" s="53"/>
      <c r="V67" s="53"/>
      <c r="W67" s="53"/>
      <c r="X67" s="53"/>
      <c r="BF67" s="53"/>
      <c r="BG67" s="53"/>
    </row>
    <row r="68" spans="1:59" s="57" customFormat="1" ht="15" thickTop="1" thickBot="1" x14ac:dyDescent="0.2">
      <c r="A68" s="172"/>
      <c r="B68" s="105" t="s">
        <v>22</v>
      </c>
      <c r="C68" s="85"/>
      <c r="D68" s="86">
        <f>SUM(D38:D67)</f>
        <v>22929829</v>
      </c>
      <c r="E68" s="86">
        <f>SUM(E38:E67)</f>
        <v>0</v>
      </c>
      <c r="F68" s="86">
        <f>SUM(F38:F67)</f>
        <v>12961236</v>
      </c>
      <c r="G68" s="86"/>
      <c r="H68" s="87">
        <f>SUM(H38:H67)</f>
        <v>158320</v>
      </c>
      <c r="I68" s="106">
        <f>SUM(I38:I67)</f>
        <v>9810273</v>
      </c>
      <c r="J68" s="107"/>
      <c r="K68" s="53"/>
      <c r="L68" s="53"/>
      <c r="M68" s="53"/>
      <c r="N68" s="53"/>
      <c r="O68" s="53"/>
      <c r="P68" s="53"/>
      <c r="Q68" s="53"/>
      <c r="R68" s="52"/>
      <c r="S68" s="53"/>
      <c r="T68" s="53"/>
      <c r="U68" s="53"/>
      <c r="V68" s="53"/>
      <c r="W68" s="53"/>
      <c r="X68" s="53"/>
      <c r="BF68" s="53"/>
      <c r="BG68" s="53"/>
    </row>
    <row r="69" spans="1:59" s="57" customFormat="1" ht="14.25" thickTop="1" x14ac:dyDescent="0.15">
      <c r="A69" s="172"/>
      <c r="B69" s="141"/>
      <c r="C69" s="102">
        <f>J69</f>
        <v>0</v>
      </c>
      <c r="D69" s="145"/>
      <c r="E69" s="145"/>
      <c r="F69" s="145"/>
      <c r="G69" s="145"/>
      <c r="H69" s="146"/>
      <c r="I69" s="98">
        <f t="shared" ref="I69:I72" si="26">D69-E69-F69-G69-H69</f>
        <v>0</v>
      </c>
      <c r="J69" s="147"/>
      <c r="K69" s="53"/>
      <c r="L69" s="53"/>
      <c r="M69" s="53"/>
      <c r="N69" s="53"/>
      <c r="O69" s="53"/>
      <c r="P69" s="53"/>
      <c r="Q69" s="53"/>
      <c r="R69" s="52"/>
      <c r="S69" s="53"/>
      <c r="T69" s="53"/>
      <c r="U69" s="53"/>
      <c r="V69" s="53"/>
      <c r="W69" s="53"/>
      <c r="X69" s="53"/>
      <c r="BF69" s="53"/>
      <c r="BG69" s="53"/>
    </row>
    <row r="70" spans="1:59" s="57" customFormat="1" x14ac:dyDescent="0.15">
      <c r="A70" s="172"/>
      <c r="B70" s="141"/>
      <c r="C70" s="102">
        <f>J70</f>
        <v>0</v>
      </c>
      <c r="D70" s="145"/>
      <c r="E70" s="145"/>
      <c r="F70" s="145"/>
      <c r="G70" s="145"/>
      <c r="H70" s="146"/>
      <c r="I70" s="98">
        <f t="shared" si="26"/>
        <v>0</v>
      </c>
      <c r="J70" s="147"/>
      <c r="K70" s="53"/>
      <c r="L70" s="53"/>
      <c r="M70" s="53"/>
      <c r="N70" s="53"/>
      <c r="O70" s="53"/>
      <c r="P70" s="53"/>
      <c r="Q70" s="53"/>
      <c r="R70" s="52"/>
      <c r="S70" s="53"/>
      <c r="T70" s="53"/>
      <c r="U70" s="53"/>
      <c r="V70" s="53"/>
      <c r="W70" s="53"/>
      <c r="X70" s="53"/>
      <c r="BF70" s="53"/>
      <c r="BG70" s="53"/>
    </row>
    <row r="71" spans="1:59" s="57" customFormat="1" x14ac:dyDescent="0.15">
      <c r="A71" s="172"/>
      <c r="B71" s="141"/>
      <c r="C71" s="102">
        <f>J71</f>
        <v>0</v>
      </c>
      <c r="D71" s="145"/>
      <c r="E71" s="145"/>
      <c r="F71" s="145"/>
      <c r="G71" s="145"/>
      <c r="H71" s="146"/>
      <c r="I71" s="98">
        <f t="shared" si="26"/>
        <v>0</v>
      </c>
      <c r="J71" s="147"/>
      <c r="K71" s="53"/>
      <c r="L71" s="53"/>
      <c r="M71" s="53"/>
      <c r="N71" s="53"/>
      <c r="O71" s="53"/>
      <c r="P71" s="53"/>
      <c r="Q71" s="53"/>
      <c r="R71" s="52"/>
      <c r="S71" s="53"/>
      <c r="T71" s="53"/>
      <c r="U71" s="53"/>
      <c r="V71" s="53"/>
      <c r="W71" s="53"/>
      <c r="X71" s="53"/>
      <c r="BF71" s="53"/>
      <c r="BG71" s="53"/>
    </row>
    <row r="72" spans="1:59" s="57" customFormat="1" ht="14.25" thickBot="1" x14ac:dyDescent="0.2">
      <c r="A72" s="172"/>
      <c r="B72" s="134"/>
      <c r="C72" s="71">
        <f>J72</f>
        <v>0</v>
      </c>
      <c r="D72" s="137"/>
      <c r="E72" s="137"/>
      <c r="F72" s="137"/>
      <c r="G72" s="137"/>
      <c r="H72" s="138"/>
      <c r="I72" s="72">
        <f t="shared" si="26"/>
        <v>0</v>
      </c>
      <c r="J72" s="147"/>
      <c r="K72" s="53"/>
      <c r="L72" s="53"/>
      <c r="M72" s="53"/>
      <c r="N72" s="53"/>
      <c r="O72" s="53"/>
      <c r="P72" s="53"/>
      <c r="Q72" s="53"/>
      <c r="R72" s="52"/>
      <c r="S72" s="53"/>
      <c r="T72" s="53"/>
      <c r="U72" s="53"/>
      <c r="V72" s="53"/>
      <c r="W72" s="53"/>
      <c r="X72" s="53"/>
      <c r="BF72" s="53"/>
      <c r="BG72" s="53"/>
    </row>
    <row r="73" spans="1:59" s="57" customFormat="1" ht="15" thickTop="1" thickBot="1" x14ac:dyDescent="0.2">
      <c r="A73" s="172"/>
      <c r="B73" s="105" t="s">
        <v>23</v>
      </c>
      <c r="C73" s="85"/>
      <c r="D73" s="86">
        <f t="shared" ref="D73:I73" si="27">SUM(D69:D72)</f>
        <v>0</v>
      </c>
      <c r="E73" s="86">
        <f t="shared" si="27"/>
        <v>0</v>
      </c>
      <c r="F73" s="86">
        <f t="shared" si="27"/>
        <v>0</v>
      </c>
      <c r="G73" s="86">
        <f t="shared" si="27"/>
        <v>0</v>
      </c>
      <c r="H73" s="87">
        <f t="shared" si="27"/>
        <v>0</v>
      </c>
      <c r="I73" s="106">
        <f t="shared" si="27"/>
        <v>0</v>
      </c>
      <c r="J73" s="107"/>
      <c r="K73" s="53"/>
      <c r="L73" s="53"/>
      <c r="M73" s="53"/>
      <c r="N73" s="53"/>
      <c r="O73" s="53"/>
      <c r="P73" s="53"/>
      <c r="Q73" s="53"/>
      <c r="R73" s="52"/>
      <c r="S73" s="53"/>
      <c r="T73" s="53"/>
      <c r="U73" s="53"/>
      <c r="V73" s="53"/>
      <c r="W73" s="53"/>
      <c r="X73" s="53"/>
      <c r="BF73" s="53"/>
      <c r="BG73" s="53"/>
    </row>
    <row r="74" spans="1:59" s="57" customFormat="1" ht="14.25" thickTop="1" x14ac:dyDescent="0.15">
      <c r="A74" s="172"/>
      <c r="B74" s="142"/>
      <c r="C74" s="102">
        <f>J74</f>
        <v>0</v>
      </c>
      <c r="D74" s="145"/>
      <c r="E74" s="145"/>
      <c r="F74" s="145"/>
      <c r="G74" s="145"/>
      <c r="H74" s="146"/>
      <c r="I74" s="98">
        <f t="shared" ref="I74:I76" si="28">D74-E74-F74-G74-H74</f>
        <v>0</v>
      </c>
      <c r="J74" s="147"/>
      <c r="K74" s="53"/>
      <c r="L74" s="51" t="s">
        <v>129</v>
      </c>
      <c r="M74" s="53"/>
      <c r="N74" s="53"/>
      <c r="O74" s="53"/>
      <c r="P74" s="53"/>
      <c r="Q74" s="53"/>
      <c r="R74" s="52"/>
      <c r="S74" s="53"/>
      <c r="T74" s="53"/>
      <c r="U74" s="53"/>
      <c r="V74" s="53"/>
      <c r="W74" s="53"/>
      <c r="X74" s="53"/>
      <c r="BF74" s="53"/>
      <c r="BG74" s="53"/>
    </row>
    <row r="75" spans="1:59" s="57" customFormat="1" x14ac:dyDescent="0.15">
      <c r="A75" s="172"/>
      <c r="B75" s="143"/>
      <c r="C75" s="66">
        <f>J75</f>
        <v>0</v>
      </c>
      <c r="D75" s="135"/>
      <c r="E75" s="135"/>
      <c r="F75" s="135"/>
      <c r="G75" s="135"/>
      <c r="H75" s="136"/>
      <c r="I75" s="67">
        <f t="shared" si="28"/>
        <v>0</v>
      </c>
      <c r="J75" s="147"/>
      <c r="K75" s="53"/>
      <c r="L75" s="111" t="s">
        <v>117</v>
      </c>
      <c r="M75" s="51"/>
      <c r="N75" s="51"/>
      <c r="O75" s="53"/>
      <c r="P75" s="53"/>
      <c r="Q75" s="53"/>
      <c r="R75" s="52"/>
      <c r="S75" s="53"/>
      <c r="T75" s="53"/>
      <c r="U75" s="53"/>
      <c r="V75" s="53"/>
      <c r="W75" s="53"/>
      <c r="X75" s="53"/>
      <c r="BF75" s="53"/>
      <c r="BG75" s="53"/>
    </row>
    <row r="76" spans="1:59" s="57" customFormat="1" ht="14.25" thickBot="1" x14ac:dyDescent="0.2">
      <c r="A76" s="172"/>
      <c r="B76" s="144"/>
      <c r="C76" s="71">
        <f>J76</f>
        <v>0</v>
      </c>
      <c r="D76" s="137"/>
      <c r="E76" s="137"/>
      <c r="F76" s="137"/>
      <c r="G76" s="137"/>
      <c r="H76" s="138"/>
      <c r="I76" s="72">
        <f t="shared" si="28"/>
        <v>0</v>
      </c>
      <c r="J76" s="147"/>
      <c r="K76" s="53"/>
      <c r="L76" s="111" t="s">
        <v>114</v>
      </c>
      <c r="M76" s="51"/>
      <c r="N76" s="51"/>
      <c r="O76" s="53"/>
      <c r="P76" s="53"/>
      <c r="Q76" s="53"/>
      <c r="R76" s="52"/>
      <c r="S76" s="53"/>
      <c r="T76" s="53"/>
      <c r="U76" s="53"/>
      <c r="V76" s="53"/>
      <c r="W76" s="53"/>
      <c r="X76" s="53"/>
      <c r="BF76" s="53"/>
      <c r="BG76" s="53"/>
    </row>
    <row r="77" spans="1:59" s="57" customFormat="1" ht="15" thickTop="1" thickBot="1" x14ac:dyDescent="0.2">
      <c r="A77" s="172"/>
      <c r="B77" s="105" t="s">
        <v>24</v>
      </c>
      <c r="C77" s="85"/>
      <c r="D77" s="86">
        <f t="shared" ref="D77:I77" si="29">SUM(D74:D76)</f>
        <v>0</v>
      </c>
      <c r="E77" s="86">
        <f t="shared" si="29"/>
        <v>0</v>
      </c>
      <c r="F77" s="86">
        <f t="shared" si="29"/>
        <v>0</v>
      </c>
      <c r="G77" s="87">
        <f t="shared" si="29"/>
        <v>0</v>
      </c>
      <c r="H77" s="87">
        <f t="shared" si="29"/>
        <v>0</v>
      </c>
      <c r="I77" s="106">
        <f t="shared" si="29"/>
        <v>0</v>
      </c>
      <c r="J77" s="107"/>
      <c r="K77" s="53"/>
      <c r="L77" s="51" t="s">
        <v>115</v>
      </c>
      <c r="M77" s="51"/>
      <c r="N77" s="51"/>
      <c r="O77" s="53"/>
      <c r="P77" s="53"/>
      <c r="Q77" s="53"/>
      <c r="R77" s="52"/>
      <c r="S77" s="53"/>
      <c r="T77" s="53"/>
      <c r="U77" s="53"/>
      <c r="V77" s="53"/>
      <c r="W77" s="53"/>
      <c r="X77" s="53"/>
      <c r="BF77" s="53"/>
      <c r="BG77" s="51"/>
    </row>
    <row r="78" spans="1:59" s="54" customFormat="1" ht="14.25" thickTop="1" x14ac:dyDescent="0.15">
      <c r="A78" s="172"/>
      <c r="B78" s="140" t="s">
        <v>31</v>
      </c>
      <c r="C78" s="102">
        <f t="shared" ref="C78:C83" si="30">J78</f>
        <v>0</v>
      </c>
      <c r="D78" s="145"/>
      <c r="E78" s="145"/>
      <c r="F78" s="145"/>
      <c r="G78" s="145"/>
      <c r="H78" s="146"/>
      <c r="I78" s="98">
        <f t="shared" ref="I78:I83" si="31">D78-E78-F78-G78-H78</f>
        <v>0</v>
      </c>
      <c r="J78" s="147"/>
      <c r="K78" s="53"/>
      <c r="L78" s="51" t="s">
        <v>164</v>
      </c>
      <c r="M78" s="51"/>
      <c r="N78" s="51"/>
      <c r="O78" s="53"/>
      <c r="P78" s="53"/>
      <c r="Q78" s="53"/>
      <c r="R78" s="52"/>
      <c r="S78" s="53"/>
      <c r="T78" s="53"/>
      <c r="U78" s="53"/>
      <c r="V78" s="53"/>
      <c r="W78" s="53"/>
      <c r="X78" s="5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3"/>
      <c r="BG78" s="51"/>
    </row>
    <row r="79" spans="1:59" s="54" customFormat="1" x14ac:dyDescent="0.15">
      <c r="A79" s="172"/>
      <c r="B79" s="133" t="s">
        <v>32</v>
      </c>
      <c r="C79" s="66">
        <f t="shared" si="30"/>
        <v>0</v>
      </c>
      <c r="D79" s="135"/>
      <c r="E79" s="135"/>
      <c r="F79" s="135"/>
      <c r="G79" s="135"/>
      <c r="H79" s="136"/>
      <c r="I79" s="67">
        <f t="shared" si="31"/>
        <v>0</v>
      </c>
      <c r="J79" s="147"/>
      <c r="K79" s="53"/>
      <c r="L79" s="51" t="s">
        <v>116</v>
      </c>
      <c r="M79" s="51"/>
      <c r="N79" s="51"/>
      <c r="O79" s="53"/>
      <c r="P79" s="53"/>
      <c r="Q79" s="53"/>
      <c r="R79" s="52"/>
      <c r="S79" s="53"/>
      <c r="T79" s="53"/>
      <c r="U79" s="53"/>
      <c r="V79" s="53"/>
      <c r="W79" s="53"/>
      <c r="X79" s="53"/>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1"/>
      <c r="BG79" s="51"/>
    </row>
    <row r="80" spans="1:59" s="54" customFormat="1" x14ac:dyDescent="0.15">
      <c r="A80" s="172"/>
      <c r="B80" s="133" t="s">
        <v>33</v>
      </c>
      <c r="C80" s="66">
        <f t="shared" si="30"/>
        <v>0</v>
      </c>
      <c r="D80" s="135"/>
      <c r="E80" s="135"/>
      <c r="F80" s="135"/>
      <c r="G80" s="135"/>
      <c r="H80" s="136"/>
      <c r="I80" s="67">
        <f t="shared" si="31"/>
        <v>0</v>
      </c>
      <c r="J80" s="147"/>
      <c r="K80" s="53"/>
      <c r="L80" s="53"/>
      <c r="M80" s="51"/>
      <c r="N80" s="51"/>
      <c r="O80" s="53"/>
      <c r="P80" s="53"/>
      <c r="Q80" s="53"/>
      <c r="R80" s="52"/>
      <c r="S80" s="53"/>
      <c r="T80" s="53"/>
      <c r="U80" s="53"/>
      <c r="V80" s="53"/>
      <c r="W80" s="53"/>
      <c r="X80" s="53"/>
      <c r="AE80" s="57"/>
      <c r="AF80" s="57"/>
      <c r="BF80" s="51"/>
      <c r="BG80" s="51"/>
    </row>
    <row r="81" spans="1:59" s="54" customFormat="1" x14ac:dyDescent="0.15">
      <c r="A81" s="172"/>
      <c r="B81" s="133" t="s">
        <v>34</v>
      </c>
      <c r="C81" s="66">
        <f t="shared" si="30"/>
        <v>0</v>
      </c>
      <c r="D81" s="135"/>
      <c r="E81" s="135"/>
      <c r="F81" s="135"/>
      <c r="G81" s="135"/>
      <c r="H81" s="136"/>
      <c r="I81" s="67">
        <f t="shared" si="31"/>
        <v>0</v>
      </c>
      <c r="J81" s="147"/>
      <c r="K81" s="53"/>
      <c r="L81" s="51" t="s">
        <v>122</v>
      </c>
      <c r="M81" s="51"/>
      <c r="N81" s="51"/>
      <c r="O81" s="53"/>
      <c r="P81" s="53"/>
      <c r="Q81" s="53"/>
      <c r="R81" s="52"/>
      <c r="S81" s="53"/>
      <c r="T81" s="53"/>
      <c r="U81" s="53"/>
      <c r="V81" s="53"/>
      <c r="W81" s="53"/>
      <c r="X81" s="53"/>
      <c r="AE81" s="57"/>
      <c r="AF81" s="57"/>
      <c r="BF81" s="51"/>
      <c r="BG81" s="51"/>
    </row>
    <row r="82" spans="1:59" s="54" customFormat="1" x14ac:dyDescent="0.15">
      <c r="A82" s="172"/>
      <c r="B82" s="133" t="s">
        <v>35</v>
      </c>
      <c r="C82" s="66" t="str">
        <f t="shared" si="30"/>
        <v>共通</v>
      </c>
      <c r="D82" s="135"/>
      <c r="E82" s="135"/>
      <c r="F82" s="135"/>
      <c r="G82" s="135"/>
      <c r="H82" s="136"/>
      <c r="I82" s="67">
        <f t="shared" si="31"/>
        <v>0</v>
      </c>
      <c r="J82" s="147" t="s">
        <v>47</v>
      </c>
      <c r="K82" s="53"/>
      <c r="L82" s="51" t="s">
        <v>121</v>
      </c>
      <c r="M82" s="51"/>
      <c r="N82" s="51"/>
      <c r="O82" s="53"/>
      <c r="P82" s="53"/>
      <c r="Q82" s="53"/>
      <c r="R82" s="52"/>
      <c r="S82" s="53"/>
      <c r="T82" s="53"/>
      <c r="U82" s="53"/>
      <c r="V82" s="51"/>
      <c r="W82" s="53"/>
      <c r="X82" s="53"/>
      <c r="AE82" s="57"/>
      <c r="AF82" s="57"/>
      <c r="BF82" s="51"/>
      <c r="BG82" s="51"/>
    </row>
    <row r="83" spans="1:59" ht="14.25" thickBot="1" x14ac:dyDescent="0.2">
      <c r="A83" s="172"/>
      <c r="B83" s="134"/>
      <c r="C83" s="71">
        <f t="shared" si="30"/>
        <v>0</v>
      </c>
      <c r="D83" s="137"/>
      <c r="E83" s="137"/>
      <c r="F83" s="137"/>
      <c r="G83" s="137"/>
      <c r="H83" s="138"/>
      <c r="I83" s="72">
        <f t="shared" si="31"/>
        <v>0</v>
      </c>
      <c r="J83" s="147"/>
      <c r="K83" s="112"/>
      <c r="L83" s="51" t="s">
        <v>119</v>
      </c>
      <c r="M83" s="51"/>
      <c r="N83" s="51"/>
      <c r="O83" s="112"/>
      <c r="P83" s="112"/>
      <c r="Q83" s="112"/>
      <c r="R83" s="113"/>
      <c r="S83" s="112"/>
      <c r="T83" s="112"/>
      <c r="U83" s="112"/>
      <c r="V83" s="51"/>
      <c r="W83" s="51"/>
      <c r="X83" s="51"/>
      <c r="Y83" s="54"/>
      <c r="Z83" s="54"/>
      <c r="AA83" s="54"/>
      <c r="AB83" s="54"/>
      <c r="AC83" s="54"/>
      <c r="AD83" s="54"/>
      <c r="AE83" s="57"/>
      <c r="AF83" s="57"/>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1"/>
      <c r="BG83" s="114"/>
    </row>
    <row r="84" spans="1:59" ht="15" thickTop="1" thickBot="1" x14ac:dyDescent="0.2">
      <c r="A84" s="172"/>
      <c r="B84" s="105" t="s">
        <v>25</v>
      </c>
      <c r="C84" s="85"/>
      <c r="D84" s="86">
        <f t="shared" ref="D84:I84" si="32">SUM(D78:D83)</f>
        <v>0</v>
      </c>
      <c r="E84" s="86">
        <f t="shared" si="32"/>
        <v>0</v>
      </c>
      <c r="F84" s="86">
        <f t="shared" si="32"/>
        <v>0</v>
      </c>
      <c r="G84" s="87">
        <f t="shared" si="32"/>
        <v>0</v>
      </c>
      <c r="H84" s="87">
        <f t="shared" si="32"/>
        <v>0</v>
      </c>
      <c r="I84" s="106">
        <f t="shared" si="32"/>
        <v>0</v>
      </c>
      <c r="J84" s="107"/>
      <c r="K84" s="112"/>
      <c r="L84" s="51" t="s">
        <v>120</v>
      </c>
      <c r="M84" s="51"/>
      <c r="N84" s="51"/>
      <c r="O84" s="112"/>
      <c r="P84" s="112"/>
      <c r="Q84" s="112"/>
      <c r="R84" s="113"/>
      <c r="S84" s="112"/>
      <c r="T84" s="112"/>
      <c r="U84" s="112"/>
      <c r="V84" s="51"/>
      <c r="W84" s="51"/>
      <c r="X84" s="51"/>
      <c r="Y84" s="54"/>
      <c r="Z84" s="54"/>
      <c r="AA84" s="54"/>
      <c r="AB84" s="54"/>
      <c r="AC84" s="54"/>
      <c r="AD84" s="54"/>
      <c r="AE84" s="57"/>
      <c r="AF84" s="57"/>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1"/>
      <c r="BG84" s="114"/>
    </row>
    <row r="85" spans="1:59" ht="14.25" thickTop="1" x14ac:dyDescent="0.15">
      <c r="A85" s="172"/>
      <c r="B85" s="140"/>
      <c r="C85" s="102">
        <f>J85</f>
        <v>0</v>
      </c>
      <c r="D85" s="145"/>
      <c r="E85" s="145"/>
      <c r="F85" s="145"/>
      <c r="G85" s="145"/>
      <c r="H85" s="146"/>
      <c r="I85" s="98">
        <f t="shared" ref="I85:I86" si="33">D85-E85-F85-G85-H85</f>
        <v>0</v>
      </c>
      <c r="J85" s="148"/>
      <c r="K85" s="112"/>
      <c r="L85" s="51" t="s">
        <v>128</v>
      </c>
      <c r="M85" s="51"/>
      <c r="N85" s="51"/>
      <c r="O85" s="112"/>
      <c r="P85" s="112"/>
      <c r="Q85" s="112"/>
      <c r="R85" s="113"/>
      <c r="S85" s="112"/>
      <c r="T85" s="112"/>
      <c r="U85" s="112"/>
      <c r="V85" s="51"/>
      <c r="W85" s="51"/>
      <c r="X85" s="51"/>
      <c r="AE85" s="57"/>
      <c r="AF85" s="57"/>
      <c r="BF85" s="114"/>
      <c r="BG85" s="114"/>
    </row>
    <row r="86" spans="1:59" ht="14.25" thickBot="1" x14ac:dyDescent="0.2">
      <c r="A86" s="172"/>
      <c r="B86" s="134"/>
      <c r="C86" s="71">
        <f>J86</f>
        <v>0</v>
      </c>
      <c r="D86" s="137"/>
      <c r="E86" s="137"/>
      <c r="F86" s="137"/>
      <c r="G86" s="137"/>
      <c r="H86" s="138"/>
      <c r="I86" s="72">
        <f t="shared" si="33"/>
        <v>0</v>
      </c>
      <c r="J86" s="147"/>
      <c r="K86" s="112"/>
      <c r="L86" s="51" t="s">
        <v>165</v>
      </c>
      <c r="M86" s="51"/>
      <c r="N86" s="51"/>
      <c r="O86" s="112"/>
      <c r="P86" s="112"/>
      <c r="Q86" s="112"/>
      <c r="R86" s="113"/>
      <c r="S86" s="112"/>
      <c r="T86" s="112"/>
      <c r="U86" s="112"/>
      <c r="V86" s="51"/>
      <c r="W86" s="51"/>
      <c r="X86" s="51"/>
      <c r="AE86" s="57"/>
      <c r="AF86" s="57"/>
      <c r="BF86" s="114"/>
      <c r="BG86" s="114"/>
    </row>
    <row r="87" spans="1:59" ht="15" thickTop="1" thickBot="1" x14ac:dyDescent="0.2">
      <c r="A87" s="172"/>
      <c r="B87" s="105" t="s">
        <v>26</v>
      </c>
      <c r="C87" s="85"/>
      <c r="D87" s="86">
        <f t="shared" ref="D87:I87" si="34">SUM(D85:D86)</f>
        <v>0</v>
      </c>
      <c r="E87" s="86">
        <f t="shared" si="34"/>
        <v>0</v>
      </c>
      <c r="F87" s="86">
        <f t="shared" si="34"/>
        <v>0</v>
      </c>
      <c r="G87" s="87">
        <f t="shared" si="34"/>
        <v>0</v>
      </c>
      <c r="H87" s="87">
        <f t="shared" si="34"/>
        <v>0</v>
      </c>
      <c r="I87" s="106">
        <f t="shared" si="34"/>
        <v>0</v>
      </c>
      <c r="J87" s="107"/>
      <c r="K87" s="112"/>
      <c r="L87" s="51" t="s">
        <v>118</v>
      </c>
      <c r="M87" s="51"/>
      <c r="N87" s="51"/>
      <c r="O87" s="112"/>
      <c r="P87" s="112"/>
      <c r="Q87" s="112"/>
      <c r="R87" s="113"/>
      <c r="S87" s="112"/>
      <c r="T87" s="112"/>
      <c r="U87" s="112"/>
      <c r="V87" s="51"/>
      <c r="W87" s="51"/>
      <c r="X87" s="51"/>
      <c r="AE87" s="54"/>
      <c r="AF87" s="54"/>
      <c r="BF87" s="114"/>
      <c r="BG87" s="114"/>
    </row>
    <row r="88" spans="1:59" ht="15" thickTop="1" thickBot="1" x14ac:dyDescent="0.2">
      <c r="A88" s="173"/>
      <c r="B88" s="192" t="s">
        <v>51</v>
      </c>
      <c r="C88" s="193"/>
      <c r="D88" s="193"/>
      <c r="E88" s="193"/>
      <c r="F88" s="194"/>
      <c r="G88" s="195"/>
      <c r="H88" s="116">
        <f>SUM(H37,H68,H73,H77,H84,H87)</f>
        <v>158320</v>
      </c>
      <c r="I88" s="117">
        <f>SUM(I37,I68,I73,I77,I84,I87)</f>
        <v>9810273</v>
      </c>
      <c r="J88" s="118"/>
      <c r="K88" s="112"/>
      <c r="L88" s="113"/>
      <c r="M88" s="112"/>
      <c r="N88" s="112"/>
      <c r="O88" s="112"/>
      <c r="P88" s="112"/>
      <c r="Q88" s="112"/>
      <c r="R88" s="113"/>
      <c r="S88" s="112"/>
      <c r="T88" s="112"/>
      <c r="U88" s="112"/>
      <c r="V88" s="114"/>
      <c r="W88" s="51"/>
      <c r="X88" s="51"/>
      <c r="AE88" s="54"/>
      <c r="AF88" s="54"/>
      <c r="BF88" s="114"/>
      <c r="BG88" s="114"/>
    </row>
    <row r="89" spans="1:59" x14ac:dyDescent="0.15">
      <c r="A89" s="114"/>
      <c r="B89" s="51"/>
      <c r="C89" s="51"/>
      <c r="D89" s="53"/>
      <c r="E89" s="53"/>
      <c r="F89" s="164" t="s">
        <v>111</v>
      </c>
      <c r="G89" s="119" t="s">
        <v>54</v>
      </c>
      <c r="H89" s="120">
        <f ca="1">SUMIF(C$22:H$87,G89,H$22:H$87)</f>
        <v>0</v>
      </c>
      <c r="I89" s="120">
        <f ca="1">SUMIF(C$22:I$87,G89,I$22:I$87)</f>
        <v>2253654</v>
      </c>
      <c r="J89" s="167"/>
      <c r="K89" s="112"/>
      <c r="L89" s="121"/>
      <c r="M89" s="122"/>
      <c r="N89" s="122"/>
      <c r="O89" s="122"/>
      <c r="P89" s="122"/>
      <c r="Q89" s="122"/>
      <c r="R89" s="123" t="s">
        <v>166</v>
      </c>
      <c r="S89" s="112"/>
      <c r="T89" s="112"/>
      <c r="U89" s="112"/>
      <c r="V89" s="114"/>
      <c r="W89" s="114"/>
      <c r="X89" s="114"/>
      <c r="AE89" s="54"/>
      <c r="AF89" s="54"/>
      <c r="BF89" s="114"/>
      <c r="BG89" s="114"/>
    </row>
    <row r="90" spans="1:59" x14ac:dyDescent="0.15">
      <c r="A90" s="114"/>
      <c r="B90" s="51"/>
      <c r="C90" s="51"/>
      <c r="D90" s="53"/>
      <c r="E90" s="53"/>
      <c r="F90" s="165"/>
      <c r="G90" s="124" t="s">
        <v>55</v>
      </c>
      <c r="H90" s="125">
        <f ca="1">SUMIF(C$22:H$87,G90,H$22:H$87)</f>
        <v>0</v>
      </c>
      <c r="I90" s="125">
        <f ca="1">SUMIF(C$22:I$87,G90,I$22:I$87)</f>
        <v>0</v>
      </c>
      <c r="J90" s="168"/>
      <c r="K90" s="112"/>
      <c r="L90" s="113"/>
      <c r="M90" s="112"/>
      <c r="N90" s="112"/>
      <c r="O90" s="112"/>
      <c r="P90" s="112"/>
      <c r="Q90" s="112"/>
      <c r="R90" s="113"/>
      <c r="S90" s="112"/>
      <c r="T90" s="112"/>
      <c r="U90" s="112"/>
      <c r="V90" s="114"/>
      <c r="W90" s="114"/>
      <c r="X90" s="114"/>
      <c r="AE90" s="54"/>
      <c r="AF90" s="54"/>
      <c r="BF90" s="114"/>
      <c r="BG90" s="114"/>
    </row>
    <row r="91" spans="1:59" ht="14.25" thickBot="1" x14ac:dyDescent="0.2">
      <c r="A91" s="114"/>
      <c r="B91" s="51"/>
      <c r="C91" s="51"/>
      <c r="D91" s="53"/>
      <c r="E91" s="53"/>
      <c r="F91" s="166"/>
      <c r="G91" s="126" t="s">
        <v>56</v>
      </c>
      <c r="H91" s="127">
        <f ca="1">SUMIF(C$22:H$87,G91,H$22:H$87)</f>
        <v>158320</v>
      </c>
      <c r="I91" s="127">
        <f ca="1">SUMIF(C$22:I$87,G91,I$22:I$87)</f>
        <v>7556619</v>
      </c>
      <c r="J91" s="168"/>
      <c r="K91" s="112"/>
      <c r="L91" s="113"/>
      <c r="M91" s="112"/>
      <c r="N91" s="112"/>
      <c r="O91" s="112"/>
      <c r="P91" s="112"/>
      <c r="Q91" s="112"/>
      <c r="R91" s="113"/>
      <c r="S91" s="112"/>
      <c r="T91" s="112"/>
      <c r="U91" s="112"/>
      <c r="V91" s="114"/>
      <c r="W91" s="114"/>
      <c r="X91" s="114"/>
      <c r="AE91" s="54"/>
      <c r="AF91" s="54"/>
      <c r="BF91" s="114"/>
      <c r="BG91" s="114"/>
    </row>
    <row r="92" spans="1:59" x14ac:dyDescent="0.15">
      <c r="A92" s="114"/>
      <c r="B92" s="51"/>
      <c r="C92" s="51"/>
      <c r="D92" s="53"/>
      <c r="E92" s="53"/>
      <c r="F92" s="164" t="s">
        <v>76</v>
      </c>
      <c r="G92" s="119" t="s">
        <v>54</v>
      </c>
      <c r="H92" s="120">
        <f ca="1">ROUNDDOWN(H89*6.24/108,0)</f>
        <v>0</v>
      </c>
      <c r="I92" s="120">
        <f ca="1">ROUNDDOWN(I89*7.8/110,0)</f>
        <v>159804</v>
      </c>
      <c r="J92" s="168"/>
      <c r="K92" s="112"/>
      <c r="L92" s="113"/>
      <c r="M92" s="112"/>
      <c r="N92" s="112"/>
      <c r="O92" s="112"/>
      <c r="P92" s="112"/>
      <c r="Q92" s="112"/>
      <c r="R92" s="113"/>
      <c r="S92" s="112"/>
      <c r="T92" s="112"/>
      <c r="U92" s="112"/>
      <c r="V92" s="114"/>
      <c r="W92" s="114"/>
      <c r="X92" s="114"/>
      <c r="BF92" s="114"/>
      <c r="BG92" s="114"/>
    </row>
    <row r="93" spans="1:59" x14ac:dyDescent="0.15">
      <c r="A93" s="114"/>
      <c r="B93" s="51"/>
      <c r="C93" s="51"/>
      <c r="D93" s="53"/>
      <c r="E93" s="53"/>
      <c r="F93" s="165"/>
      <c r="G93" s="124" t="s">
        <v>55</v>
      </c>
      <c r="H93" s="125">
        <f t="shared" ref="H93:H94" ca="1" si="35">ROUNDDOWN(H90*6.24/108,0)</f>
        <v>0</v>
      </c>
      <c r="I93" s="125">
        <f t="shared" ref="I93:I94" ca="1" si="36">ROUNDDOWN(I90*7.8/110,0)</f>
        <v>0</v>
      </c>
      <c r="J93" s="168"/>
      <c r="K93" s="112"/>
      <c r="L93" s="113"/>
      <c r="M93" s="112"/>
      <c r="N93" s="112"/>
      <c r="O93" s="122"/>
      <c r="P93" s="122"/>
      <c r="Q93" s="122"/>
      <c r="R93" s="121"/>
      <c r="S93" s="122"/>
      <c r="T93" s="122"/>
      <c r="U93" s="122"/>
      <c r="V93" s="128" t="s">
        <v>167</v>
      </c>
      <c r="W93" s="114"/>
      <c r="X93" s="114"/>
      <c r="BF93" s="114"/>
      <c r="BG93" s="114"/>
    </row>
    <row r="94" spans="1:59" ht="14.25" thickBot="1" x14ac:dyDescent="0.2">
      <c r="A94" s="114"/>
      <c r="B94" s="114"/>
      <c r="C94" s="114"/>
      <c r="D94" s="112"/>
      <c r="E94" s="112"/>
      <c r="F94" s="166"/>
      <c r="G94" s="126" t="s">
        <v>56</v>
      </c>
      <c r="H94" s="127">
        <f t="shared" ca="1" si="35"/>
        <v>9147</v>
      </c>
      <c r="I94" s="127">
        <f t="shared" ca="1" si="36"/>
        <v>535832</v>
      </c>
      <c r="J94" s="169"/>
      <c r="K94" s="112"/>
      <c r="L94" s="113"/>
      <c r="M94" s="112"/>
      <c r="N94" s="112"/>
      <c r="O94" s="112"/>
      <c r="P94" s="112"/>
      <c r="Q94" s="112"/>
      <c r="R94" s="113"/>
      <c r="S94" s="112"/>
      <c r="T94" s="112"/>
      <c r="U94" s="112"/>
      <c r="V94" s="114"/>
      <c r="W94" s="114"/>
      <c r="X94" s="114"/>
      <c r="Y94" s="114"/>
      <c r="Z94" s="114"/>
      <c r="AA94" s="114"/>
      <c r="AB94" s="114"/>
      <c r="AC94" s="114"/>
      <c r="AD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row>
    <row r="95" spans="1:59" x14ac:dyDescent="0.15">
      <c r="A95" s="114"/>
      <c r="B95" s="114"/>
      <c r="C95" s="114"/>
      <c r="D95" s="112"/>
      <c r="E95" s="112"/>
      <c r="F95" s="114"/>
      <c r="G95" s="114"/>
      <c r="H95" s="114"/>
      <c r="I95" s="112"/>
      <c r="J95" s="113"/>
      <c r="K95" s="112"/>
      <c r="L95" s="113"/>
      <c r="M95" s="112"/>
      <c r="N95" s="112"/>
      <c r="O95" s="112"/>
      <c r="P95" s="112"/>
      <c r="Q95" s="112"/>
      <c r="R95" s="113"/>
      <c r="S95" s="112"/>
      <c r="T95" s="112"/>
      <c r="U95" s="112"/>
      <c r="V95" s="114"/>
      <c r="W95" s="114"/>
      <c r="X95" s="114"/>
      <c r="Y95" s="114"/>
      <c r="Z95" s="114"/>
      <c r="AA95" s="114"/>
      <c r="AB95" s="114"/>
      <c r="AC95" s="114"/>
      <c r="AD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row>
    <row r="96" spans="1:59" x14ac:dyDescent="0.15">
      <c r="A96" s="114"/>
      <c r="B96" s="114"/>
      <c r="C96" s="114"/>
      <c r="D96" s="112"/>
      <c r="E96" s="112"/>
      <c r="F96" s="114"/>
      <c r="G96" s="114"/>
      <c r="H96" s="114"/>
      <c r="I96" s="112"/>
      <c r="J96" s="113"/>
      <c r="K96" s="112"/>
      <c r="L96" s="113"/>
      <c r="M96" s="112"/>
      <c r="N96" s="112"/>
      <c r="O96" s="112"/>
      <c r="P96" s="112"/>
      <c r="Q96" s="112"/>
      <c r="R96" s="113"/>
      <c r="S96" s="112"/>
      <c r="T96" s="112"/>
      <c r="U96" s="112"/>
      <c r="V96" s="114"/>
      <c r="W96" s="114"/>
      <c r="X96" s="114"/>
      <c r="Y96" s="114"/>
      <c r="Z96" s="114"/>
      <c r="AA96" s="114"/>
      <c r="AB96" s="114"/>
      <c r="AC96" s="114"/>
      <c r="AD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row>
    <row r="97" spans="1:59" x14ac:dyDescent="0.15">
      <c r="A97" s="114"/>
      <c r="B97" s="114"/>
      <c r="C97" s="114"/>
      <c r="D97" s="112"/>
      <c r="E97" s="112"/>
      <c r="F97" s="114"/>
      <c r="G97" s="114"/>
      <c r="H97" s="114"/>
      <c r="I97" s="112"/>
      <c r="J97" s="113"/>
      <c r="K97" s="112"/>
      <c r="L97" s="113"/>
      <c r="M97" s="112"/>
      <c r="N97" s="112"/>
      <c r="O97" s="112"/>
      <c r="P97" s="112"/>
      <c r="Q97" s="112"/>
      <c r="R97" s="113"/>
      <c r="S97" s="112"/>
      <c r="T97" s="112"/>
      <c r="U97" s="112"/>
      <c r="V97" s="114"/>
      <c r="W97" s="114"/>
      <c r="X97" s="114"/>
      <c r="Y97" s="114"/>
      <c r="Z97" s="114"/>
      <c r="AA97" s="114"/>
      <c r="AB97" s="114"/>
      <c r="AC97" s="114"/>
      <c r="AD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row>
    <row r="98" spans="1:59" x14ac:dyDescent="0.15">
      <c r="A98" s="114"/>
      <c r="B98" s="114"/>
      <c r="C98" s="114"/>
      <c r="D98" s="112"/>
      <c r="E98" s="112"/>
      <c r="F98" s="114"/>
      <c r="G98" s="114"/>
      <c r="H98" s="114"/>
      <c r="I98" s="112"/>
      <c r="J98" s="113"/>
      <c r="K98" s="112"/>
      <c r="L98" s="113"/>
      <c r="M98" s="112"/>
      <c r="N98" s="112"/>
      <c r="O98" s="112"/>
      <c r="P98" s="112"/>
      <c r="Q98" s="112"/>
      <c r="R98" s="113"/>
      <c r="S98" s="112"/>
      <c r="T98" s="112"/>
      <c r="U98" s="112"/>
      <c r="W98" s="114"/>
      <c r="X98" s="114"/>
      <c r="Y98" s="114"/>
      <c r="Z98" s="114"/>
      <c r="AA98" s="114"/>
      <c r="AB98" s="114"/>
      <c r="AC98" s="114"/>
      <c r="AD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row>
    <row r="99" spans="1:59" x14ac:dyDescent="0.15">
      <c r="A99" s="114"/>
      <c r="B99" s="114"/>
      <c r="C99" s="114"/>
      <c r="D99" s="112"/>
      <c r="E99" s="112"/>
      <c r="F99" s="114"/>
      <c r="G99" s="114"/>
      <c r="H99" s="114"/>
      <c r="I99" s="112"/>
      <c r="J99" s="113"/>
      <c r="K99" s="112"/>
      <c r="L99" s="113"/>
      <c r="M99" s="112"/>
      <c r="N99" s="112"/>
      <c r="O99" s="112"/>
      <c r="P99" s="112"/>
      <c r="Q99" s="112"/>
      <c r="R99" s="113"/>
      <c r="S99" s="112"/>
      <c r="T99" s="112"/>
      <c r="U99" s="112"/>
      <c r="V99" s="114"/>
      <c r="W99" s="129"/>
      <c r="X99" s="129"/>
      <c r="Y99" s="114"/>
      <c r="Z99" s="114"/>
      <c r="AA99" s="114"/>
      <c r="AB99" s="114"/>
      <c r="AC99" s="114"/>
      <c r="AD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row>
    <row r="100" spans="1:59" x14ac:dyDescent="0.15">
      <c r="A100" s="114"/>
      <c r="B100" s="114"/>
      <c r="C100" s="114"/>
      <c r="D100" s="112"/>
      <c r="E100" s="112"/>
      <c r="F100" s="114"/>
      <c r="G100" s="114"/>
      <c r="H100" s="114"/>
      <c r="I100" s="112"/>
      <c r="J100" s="113"/>
      <c r="K100" s="112"/>
      <c r="L100" s="113"/>
      <c r="M100" s="112"/>
      <c r="N100" s="112"/>
      <c r="O100" s="112"/>
      <c r="P100" s="112"/>
      <c r="Q100" s="112"/>
      <c r="R100" s="113"/>
      <c r="S100" s="112"/>
      <c r="T100" s="112"/>
      <c r="U100" s="112"/>
      <c r="V100" s="114"/>
      <c r="W100" s="114"/>
      <c r="X100" s="114"/>
      <c r="Y100" s="114"/>
      <c r="Z100" s="114"/>
      <c r="AA100" s="114"/>
      <c r="AB100" s="114"/>
      <c r="AC100" s="114"/>
      <c r="AD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row>
    <row r="101" spans="1:59" x14ac:dyDescent="0.15">
      <c r="A101" s="114"/>
      <c r="B101" s="114"/>
      <c r="C101" s="114"/>
      <c r="D101" s="112"/>
      <c r="E101" s="112"/>
      <c r="F101" s="114"/>
      <c r="G101" s="114"/>
      <c r="H101" s="114"/>
      <c r="I101" s="112"/>
      <c r="J101" s="113"/>
      <c r="K101" s="112"/>
      <c r="L101" s="113"/>
      <c r="M101" s="112"/>
      <c r="N101" s="112"/>
      <c r="O101" s="112"/>
      <c r="P101" s="112"/>
      <c r="Q101" s="112"/>
      <c r="R101" s="113"/>
      <c r="S101" s="112"/>
      <c r="T101" s="112"/>
      <c r="U101" s="112"/>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row>
    <row r="102" spans="1:59" x14ac:dyDescent="0.15">
      <c r="L102" s="113"/>
      <c r="M102" s="112"/>
      <c r="N102" s="112"/>
      <c r="O102" s="112"/>
      <c r="P102" s="112"/>
      <c r="Q102" s="112"/>
      <c r="R102" s="113"/>
      <c r="S102" s="112"/>
      <c r="T102" s="112"/>
      <c r="U102" s="112"/>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row>
    <row r="103" spans="1:59" x14ac:dyDescent="0.15">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row>
    <row r="104" spans="1:59" x14ac:dyDescent="0.15">
      <c r="D104" s="132"/>
      <c r="E104" s="132"/>
      <c r="F104" s="132"/>
      <c r="G104" s="132"/>
      <c r="H104" s="132"/>
      <c r="V104" s="114"/>
      <c r="W104" s="114"/>
      <c r="X104" s="114"/>
      <c r="AE104" s="114"/>
      <c r="AF104" s="114"/>
    </row>
    <row r="105" spans="1:59" x14ac:dyDescent="0.15">
      <c r="D105" s="132"/>
      <c r="E105" s="132" t="s">
        <v>172</v>
      </c>
      <c r="F105" s="132"/>
      <c r="G105" s="132"/>
      <c r="H105" s="132"/>
      <c r="V105" s="114"/>
      <c r="W105" s="114"/>
      <c r="X105" s="114"/>
      <c r="AE105" s="114"/>
      <c r="AF105" s="114"/>
    </row>
    <row r="106" spans="1:59" x14ac:dyDescent="0.15">
      <c r="D106" s="132"/>
      <c r="E106" s="132" t="s">
        <v>173</v>
      </c>
      <c r="F106" s="132"/>
      <c r="G106" s="132"/>
      <c r="H106" s="132"/>
      <c r="V106" s="114"/>
      <c r="W106" s="114"/>
      <c r="X106" s="114"/>
      <c r="AE106" s="114"/>
      <c r="AF106" s="114"/>
    </row>
    <row r="107" spans="1:59" x14ac:dyDescent="0.15">
      <c r="D107" s="132"/>
      <c r="E107" s="132" t="s">
        <v>174</v>
      </c>
      <c r="F107" s="132"/>
      <c r="G107" s="132"/>
      <c r="H107" s="132"/>
      <c r="V107" s="114"/>
      <c r="W107" s="114"/>
      <c r="X107" s="114"/>
      <c r="AE107" s="114"/>
      <c r="AF107" s="114"/>
    </row>
    <row r="108" spans="1:59" x14ac:dyDescent="0.15">
      <c r="D108" s="132"/>
      <c r="E108" s="132" t="s">
        <v>175</v>
      </c>
      <c r="F108" s="132"/>
      <c r="G108" s="132"/>
      <c r="H108" s="132"/>
      <c r="W108" s="114"/>
      <c r="X108" s="114"/>
      <c r="AE108" s="114"/>
      <c r="AF108" s="114"/>
    </row>
    <row r="109" spans="1:59" x14ac:dyDescent="0.15">
      <c r="D109" s="132"/>
      <c r="E109" s="132"/>
      <c r="F109" s="132"/>
      <c r="G109" s="132"/>
      <c r="H109" s="132"/>
      <c r="AE109" s="114"/>
      <c r="AF109" s="114"/>
    </row>
    <row r="110" spans="1:59" x14ac:dyDescent="0.15">
      <c r="D110" s="132"/>
      <c r="E110" s="132" t="s">
        <v>176</v>
      </c>
      <c r="F110" s="132"/>
      <c r="G110" s="132"/>
      <c r="H110" s="132"/>
      <c r="AE110" s="114"/>
      <c r="AF110" s="114"/>
    </row>
    <row r="111" spans="1:59" x14ac:dyDescent="0.15">
      <c r="D111" s="132"/>
      <c r="E111" s="132" t="s">
        <v>177</v>
      </c>
      <c r="F111" s="132"/>
      <c r="G111" s="132"/>
      <c r="H111" s="132"/>
    </row>
    <row r="112" spans="1:59" x14ac:dyDescent="0.15">
      <c r="D112" s="132"/>
      <c r="E112" s="132"/>
      <c r="F112" s="132"/>
      <c r="G112" s="132"/>
      <c r="H112" s="132"/>
    </row>
    <row r="113" spans="4:8" x14ac:dyDescent="0.15">
      <c r="D113" s="132"/>
      <c r="E113" s="132"/>
      <c r="F113" s="132"/>
      <c r="G113" s="132"/>
      <c r="H113" s="132"/>
    </row>
  </sheetData>
  <sheetProtection algorithmName="SHA-512" hashValue="YKe4R5N77gKuByTxw5dUlYn2pxJ2K1RGnz2AFNHGJ5IUf9DEKEePrA+Br6UhpG8iEqUrEgLpJmACnNK7YXP6hw==" saltValue="Mjv6e3w736IpzMoUE8hXjg==" spinCount="100000" sheet="1" objects="1" scenarios="1"/>
  <protectedRanges>
    <protectedRange sqref="J22:J36 J69:J72 J74:J76 J78:J83 J85:J86 J38:J67" name="範囲3"/>
    <protectedRange sqref="BG1:BG2" name="範囲2"/>
    <protectedRange sqref="B15:B18 D15:H18 B20 D20:H20 B22:B36 D22:H36 B66:B67 D66:H67 B69:B72 D69:H72 B74:B76 D74:H76 B78:B83 D78:H83 B85:B86 D85:H86 E12:H14 G38:H65 N28:P28 T14:U17 T19:U19" name="範囲1"/>
    <protectedRange sqref="D12:D14" name="範囲1_1"/>
    <protectedRange sqref="B12:B14" name="範囲1_2"/>
    <protectedRange sqref="B38:B65 D38:F65" name="範囲1_3"/>
  </protectedRanges>
  <mergeCells count="58">
    <mergeCell ref="AN13:AQ13"/>
    <mergeCell ref="AR13:AU13"/>
    <mergeCell ref="AV13:AY13"/>
    <mergeCell ref="A1:G1"/>
    <mergeCell ref="A7:I7"/>
    <mergeCell ref="A12:A18"/>
    <mergeCell ref="A8:B11"/>
    <mergeCell ref="L6:O6"/>
    <mergeCell ref="A6:J6"/>
    <mergeCell ref="D8:D11"/>
    <mergeCell ref="E8:I8"/>
    <mergeCell ref="E9:I9"/>
    <mergeCell ref="E10:E11"/>
    <mergeCell ref="L8:M8"/>
    <mergeCell ref="N13:O13"/>
    <mergeCell ref="A4:K4"/>
    <mergeCell ref="L4:V4"/>
    <mergeCell ref="R6:V6"/>
    <mergeCell ref="S39:U39"/>
    <mergeCell ref="S40:U40"/>
    <mergeCell ref="B88:G88"/>
    <mergeCell ref="R13:S13"/>
    <mergeCell ref="L7:P7"/>
    <mergeCell ref="N15:P15"/>
    <mergeCell ref="N16:P16"/>
    <mergeCell ref="N14:P14"/>
    <mergeCell ref="A22:A88"/>
    <mergeCell ref="F10:F11"/>
    <mergeCell ref="R12:U12"/>
    <mergeCell ref="J7:J11"/>
    <mergeCell ref="R7:V7"/>
    <mergeCell ref="L15:M15"/>
    <mergeCell ref="R20:S20"/>
    <mergeCell ref="J12:J21"/>
    <mergeCell ref="L16:M16"/>
    <mergeCell ref="L25:M25"/>
    <mergeCell ref="N11:O11"/>
    <mergeCell ref="L37:P37"/>
    <mergeCell ref="L19:P19"/>
    <mergeCell ref="L20:M20"/>
    <mergeCell ref="L24:P24"/>
    <mergeCell ref="R8:S8"/>
    <mergeCell ref="F92:F94"/>
    <mergeCell ref="J89:J94"/>
    <mergeCell ref="M39:O39"/>
    <mergeCell ref="M38:O38"/>
    <mergeCell ref="M40:O40"/>
    <mergeCell ref="F89:F91"/>
    <mergeCell ref="AC24:AE24"/>
    <mergeCell ref="AA13:AC13"/>
    <mergeCell ref="AE13:AF13"/>
    <mergeCell ref="R37:V37"/>
    <mergeCell ref="S38:U38"/>
    <mergeCell ref="R25:S25"/>
    <mergeCell ref="V12:V13"/>
    <mergeCell ref="R24:V24"/>
    <mergeCell ref="W12:W13"/>
    <mergeCell ref="X13:Z13"/>
  </mergeCells>
  <phoneticPr fontId="2"/>
  <dataValidations count="2">
    <dataValidation imeMode="hiragana" allowBlank="1" showInputMessage="1" showErrorMessage="1" sqref="T13 R37 T25:T28 L37 N29:O29 M18:N18 R7 M38:M39 S32:T32 L7 M9:M14 M21:M23 N20:N21 N23 L19 L24 M26:M33 N25 N8:N10 N12 T8 S9:S11 T10:T11 R12 S14:S19 R24 S26:S29 S38:S39" xr:uid="{00000000-0002-0000-0000-000000000000}"/>
    <dataValidation type="list" allowBlank="1" showInputMessage="1" showErrorMessage="1" sqref="J75:J86 J71:J73 J35:J69 J22:J33" xr:uid="{00000000-0002-0000-0000-000001000000}">
      <formula1>"課のみ,非のみ,共通"</formula1>
    </dataValidation>
  </dataValidations>
  <printOptions horizontalCentered="1" verticalCentered="1"/>
  <pageMargins left="0.39370078740157483" right="0" top="0" bottom="0" header="0.51181102362204722" footer="0.51181102362204722"/>
  <pageSetup paperSize="9" scale="65" orientation="portrait" cellComments="asDisplayed" r:id="rId1"/>
  <headerFooter alignWithMargins="0"/>
  <colBreaks count="1" manualBreakCount="1">
    <brk id="11" max="9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workbookViewId="0">
      <selection activeCell="C9" sqref="C9"/>
    </sheetView>
  </sheetViews>
  <sheetFormatPr defaultRowHeight="13.5" x14ac:dyDescent="0.15"/>
  <cols>
    <col min="1" max="2" width="7.875" style="25" customWidth="1"/>
    <col min="3" max="3" width="9" style="25" customWidth="1"/>
    <col min="4" max="5" width="9" style="25"/>
    <col min="6" max="8" width="12.625" style="25" customWidth="1"/>
    <col min="9" max="16384" width="9" style="25"/>
  </cols>
  <sheetData>
    <row r="1" spans="1:10" ht="21" x14ac:dyDescent="0.2">
      <c r="A1" s="26" t="str">
        <f>消費税有利判定!A1</f>
        <v>株式会社今野デザイン様</v>
      </c>
      <c r="B1" s="11"/>
      <c r="C1" s="11"/>
      <c r="D1" s="11"/>
      <c r="E1" s="11"/>
      <c r="F1" s="11"/>
      <c r="G1" s="11"/>
      <c r="H1" s="11"/>
      <c r="I1" s="11"/>
      <c r="J1" s="11"/>
    </row>
    <row r="2" spans="1:10" x14ac:dyDescent="0.15">
      <c r="A2" s="11"/>
      <c r="B2" s="11"/>
      <c r="C2" s="11"/>
      <c r="D2" s="11"/>
      <c r="E2" s="11"/>
      <c r="F2" s="11"/>
      <c r="G2" s="11"/>
      <c r="H2" s="11"/>
      <c r="I2" s="11"/>
      <c r="J2" s="11"/>
    </row>
    <row r="3" spans="1:10" ht="21" x14ac:dyDescent="0.2">
      <c r="A3" s="230" t="s">
        <v>161</v>
      </c>
      <c r="B3" s="230"/>
      <c r="C3" s="230"/>
      <c r="D3" s="230"/>
      <c r="E3" s="230"/>
      <c r="F3" s="230"/>
      <c r="G3" s="230"/>
      <c r="H3" s="230"/>
      <c r="I3" s="230"/>
      <c r="J3" s="230"/>
    </row>
    <row r="4" spans="1:10" ht="9" customHeight="1" x14ac:dyDescent="0.15">
      <c r="A4" s="11"/>
      <c r="B4" s="11"/>
      <c r="C4" s="11"/>
      <c r="D4" s="11"/>
      <c r="E4" s="11"/>
      <c r="F4" s="11"/>
      <c r="G4" s="11"/>
      <c r="H4" s="11"/>
      <c r="I4" s="11"/>
      <c r="J4" s="11"/>
    </row>
    <row r="5" spans="1:10" ht="15" customHeight="1" x14ac:dyDescent="0.15">
      <c r="A5" s="231" t="s">
        <v>130</v>
      </c>
      <c r="B5" s="231"/>
      <c r="C5" s="231" t="s">
        <v>162</v>
      </c>
      <c r="D5" s="231" t="s">
        <v>131</v>
      </c>
      <c r="E5" s="231" t="s">
        <v>132</v>
      </c>
      <c r="F5" s="232" t="s">
        <v>156</v>
      </c>
      <c r="G5" s="233" t="s">
        <v>155</v>
      </c>
      <c r="H5" s="233"/>
      <c r="I5" s="231" t="s">
        <v>154</v>
      </c>
      <c r="J5" s="231"/>
    </row>
    <row r="6" spans="1:10" ht="15" customHeight="1" x14ac:dyDescent="0.15">
      <c r="A6" s="231"/>
      <c r="B6" s="231"/>
      <c r="C6" s="231"/>
      <c r="D6" s="231"/>
      <c r="E6" s="231"/>
      <c r="F6" s="232"/>
      <c r="G6" s="27" t="s">
        <v>158</v>
      </c>
      <c r="H6" s="27" t="s">
        <v>157</v>
      </c>
      <c r="I6" s="231"/>
      <c r="J6" s="231"/>
    </row>
    <row r="7" spans="1:10" ht="30" customHeight="1" x14ac:dyDescent="0.15">
      <c r="A7" s="229" t="s">
        <v>169</v>
      </c>
      <c r="B7" s="229"/>
      <c r="C7" s="28" t="s">
        <v>170</v>
      </c>
      <c r="D7" s="29" t="s">
        <v>163</v>
      </c>
      <c r="E7" s="29" t="s">
        <v>168</v>
      </c>
      <c r="F7" s="30">
        <v>25324000</v>
      </c>
      <c r="G7" s="30"/>
      <c r="H7" s="30"/>
      <c r="I7" s="229"/>
      <c r="J7" s="229"/>
    </row>
    <row r="8" spans="1:10" ht="30" customHeight="1" x14ac:dyDescent="0.15">
      <c r="A8" s="229" t="s">
        <v>160</v>
      </c>
      <c r="B8" s="229"/>
      <c r="C8" s="28" t="s">
        <v>171</v>
      </c>
      <c r="D8" s="29" t="s">
        <v>163</v>
      </c>
      <c r="E8" s="29" t="s">
        <v>168</v>
      </c>
      <c r="F8" s="30">
        <v>25324000</v>
      </c>
      <c r="G8" s="30">
        <v>791500</v>
      </c>
      <c r="H8" s="30">
        <v>633100</v>
      </c>
      <c r="I8" s="229"/>
      <c r="J8" s="229"/>
    </row>
    <row r="9" spans="1:10" ht="30" customHeight="1" x14ac:dyDescent="0.15">
      <c r="A9" s="229"/>
      <c r="B9" s="229"/>
      <c r="C9" s="13"/>
      <c r="D9" s="13"/>
      <c r="E9" s="13"/>
      <c r="F9" s="31"/>
      <c r="G9" s="31"/>
      <c r="H9" s="31"/>
      <c r="I9" s="229"/>
      <c r="J9" s="229"/>
    </row>
    <row r="10" spans="1:10" ht="30" customHeight="1" x14ac:dyDescent="0.15">
      <c r="A10" s="229"/>
      <c r="B10" s="229"/>
      <c r="C10" s="13"/>
      <c r="D10" s="13"/>
      <c r="E10" s="13"/>
      <c r="F10" s="31"/>
      <c r="G10" s="31"/>
      <c r="H10" s="31"/>
      <c r="I10" s="229"/>
      <c r="J10" s="229"/>
    </row>
    <row r="11" spans="1:10" ht="30" customHeight="1" x14ac:dyDescent="0.15">
      <c r="A11" s="229"/>
      <c r="B11" s="229"/>
      <c r="C11" s="13"/>
      <c r="D11" s="13"/>
      <c r="E11" s="13"/>
      <c r="F11" s="31"/>
      <c r="G11" s="31"/>
      <c r="H11" s="31"/>
      <c r="I11" s="229"/>
      <c r="J11" s="229"/>
    </row>
    <row r="12" spans="1:10" ht="30" customHeight="1" x14ac:dyDescent="0.15">
      <c r="A12" s="229"/>
      <c r="B12" s="229"/>
      <c r="C12" s="13"/>
      <c r="D12" s="13"/>
      <c r="E12" s="13"/>
      <c r="F12" s="31"/>
      <c r="G12" s="31"/>
      <c r="H12" s="31"/>
      <c r="I12" s="229"/>
      <c r="J12" s="229"/>
    </row>
    <row r="13" spans="1:10" ht="30" customHeight="1" x14ac:dyDescent="0.15">
      <c r="A13" s="229"/>
      <c r="B13" s="229"/>
      <c r="C13" s="13"/>
      <c r="D13" s="13"/>
      <c r="E13" s="13"/>
      <c r="F13" s="31"/>
      <c r="G13" s="31"/>
      <c r="H13" s="31"/>
      <c r="I13" s="229"/>
      <c r="J13" s="229"/>
    </row>
    <row r="14" spans="1:10" ht="30" customHeight="1" x14ac:dyDescent="0.15">
      <c r="A14" s="229"/>
      <c r="B14" s="229"/>
      <c r="C14" s="13"/>
      <c r="D14" s="13"/>
      <c r="E14" s="13"/>
      <c r="F14" s="31"/>
      <c r="G14" s="31"/>
      <c r="H14" s="31"/>
      <c r="I14" s="229"/>
      <c r="J14" s="229"/>
    </row>
    <row r="15" spans="1:10" ht="30" customHeight="1" x14ac:dyDescent="0.15">
      <c r="A15" s="229"/>
      <c r="B15" s="229"/>
      <c r="C15" s="13"/>
      <c r="D15" s="13"/>
      <c r="E15" s="13"/>
      <c r="F15" s="31"/>
      <c r="G15" s="31"/>
      <c r="H15" s="31"/>
      <c r="I15" s="229"/>
      <c r="J15" s="229"/>
    </row>
    <row r="16" spans="1:10" ht="30" customHeight="1" x14ac:dyDescent="0.15">
      <c r="A16" s="229"/>
      <c r="B16" s="229"/>
      <c r="C16" s="13"/>
      <c r="D16" s="13"/>
      <c r="E16" s="13"/>
      <c r="F16" s="31"/>
      <c r="G16" s="31"/>
      <c r="H16" s="31"/>
      <c r="I16" s="229"/>
      <c r="J16" s="229"/>
    </row>
    <row r="17" spans="1:10" ht="30" customHeight="1" x14ac:dyDescent="0.15">
      <c r="A17" s="229"/>
      <c r="B17" s="229"/>
      <c r="C17" s="13"/>
      <c r="D17" s="13"/>
      <c r="E17" s="13"/>
      <c r="F17" s="31"/>
      <c r="G17" s="31"/>
      <c r="H17" s="31"/>
      <c r="I17" s="229"/>
      <c r="J17" s="229"/>
    </row>
    <row r="18" spans="1:10" ht="30" customHeight="1" x14ac:dyDescent="0.15">
      <c r="A18" s="229"/>
      <c r="B18" s="229"/>
      <c r="C18" s="13"/>
      <c r="D18" s="13"/>
      <c r="E18" s="13"/>
      <c r="F18" s="31"/>
      <c r="G18" s="31"/>
      <c r="H18" s="31"/>
      <c r="I18" s="229"/>
      <c r="J18" s="229"/>
    </row>
    <row r="19" spans="1:10" ht="30" customHeight="1" x14ac:dyDescent="0.15">
      <c r="A19" s="229"/>
      <c r="B19" s="229"/>
      <c r="C19" s="13"/>
      <c r="D19" s="13"/>
      <c r="E19" s="13"/>
      <c r="F19" s="31"/>
      <c r="G19" s="31"/>
      <c r="H19" s="31"/>
      <c r="I19" s="229"/>
      <c r="J19" s="229"/>
    </row>
    <row r="20" spans="1:10" ht="30" customHeight="1" x14ac:dyDescent="0.15">
      <c r="A20" s="229"/>
      <c r="B20" s="229"/>
      <c r="C20" s="13"/>
      <c r="D20" s="13"/>
      <c r="E20" s="13"/>
      <c r="F20" s="31"/>
      <c r="G20" s="31"/>
      <c r="H20" s="31"/>
      <c r="I20" s="229"/>
      <c r="J20" s="229"/>
    </row>
    <row r="21" spans="1:10" ht="30" customHeight="1" x14ac:dyDescent="0.15">
      <c r="A21" s="229"/>
      <c r="B21" s="229"/>
      <c r="C21" s="13"/>
      <c r="D21" s="13"/>
      <c r="E21" s="13"/>
      <c r="F21" s="31"/>
      <c r="G21" s="31"/>
      <c r="H21" s="31"/>
      <c r="I21" s="229"/>
      <c r="J21" s="229"/>
    </row>
    <row r="22" spans="1:10" ht="30" customHeight="1" x14ac:dyDescent="0.15">
      <c r="A22" s="229"/>
      <c r="B22" s="229"/>
      <c r="C22" s="13"/>
      <c r="D22" s="13"/>
      <c r="E22" s="13"/>
      <c r="F22" s="31"/>
      <c r="G22" s="31"/>
      <c r="H22" s="31"/>
      <c r="I22" s="229"/>
      <c r="J22" s="229"/>
    </row>
    <row r="23" spans="1:10" ht="30" customHeight="1" x14ac:dyDescent="0.15">
      <c r="A23" s="229"/>
      <c r="B23" s="229"/>
      <c r="C23" s="13"/>
      <c r="D23" s="13"/>
      <c r="E23" s="13"/>
      <c r="F23" s="31"/>
      <c r="G23" s="31"/>
      <c r="H23" s="31"/>
      <c r="I23" s="229"/>
      <c r="J23" s="229"/>
    </row>
    <row r="24" spans="1:10" ht="30" customHeight="1" x14ac:dyDescent="0.15">
      <c r="A24" s="229"/>
      <c r="B24" s="229"/>
      <c r="C24" s="13"/>
      <c r="D24" s="13"/>
      <c r="E24" s="13"/>
      <c r="F24" s="31"/>
      <c r="G24" s="31"/>
      <c r="H24" s="31"/>
      <c r="I24" s="229"/>
      <c r="J24" s="229"/>
    </row>
    <row r="25" spans="1:10" ht="30" customHeight="1" x14ac:dyDescent="0.15">
      <c r="A25" s="229"/>
      <c r="B25" s="229"/>
      <c r="C25" s="13"/>
      <c r="D25" s="13"/>
      <c r="E25" s="13"/>
      <c r="F25" s="31"/>
      <c r="G25" s="31"/>
      <c r="H25" s="31"/>
      <c r="I25" s="229"/>
      <c r="J25" s="229"/>
    </row>
    <row r="26" spans="1:10" ht="30" customHeight="1" x14ac:dyDescent="0.15">
      <c r="A26" s="229"/>
      <c r="B26" s="229"/>
      <c r="C26" s="13"/>
      <c r="D26" s="13"/>
      <c r="E26" s="13"/>
      <c r="F26" s="31"/>
      <c r="G26" s="31"/>
      <c r="H26" s="31"/>
      <c r="I26" s="229"/>
      <c r="J26" s="229"/>
    </row>
    <row r="27" spans="1:10" ht="30" customHeight="1" x14ac:dyDescent="0.15">
      <c r="A27" s="229"/>
      <c r="B27" s="229"/>
      <c r="C27" s="13"/>
      <c r="D27" s="13"/>
      <c r="E27" s="13"/>
      <c r="F27" s="31"/>
      <c r="G27" s="31"/>
      <c r="H27" s="31"/>
      <c r="I27" s="229"/>
      <c r="J27" s="229"/>
    </row>
    <row r="28" spans="1:10" ht="30" customHeight="1" x14ac:dyDescent="0.15">
      <c r="A28" s="229"/>
      <c r="B28" s="229"/>
      <c r="C28" s="13"/>
      <c r="D28" s="13"/>
      <c r="E28" s="13"/>
      <c r="F28" s="31"/>
      <c r="G28" s="31"/>
      <c r="H28" s="31"/>
      <c r="I28" s="229"/>
      <c r="J28" s="229"/>
    </row>
    <row r="29" spans="1:10" ht="30" customHeight="1" x14ac:dyDescent="0.15">
      <c r="A29" s="229"/>
      <c r="B29" s="229"/>
      <c r="C29" s="13"/>
      <c r="D29" s="13"/>
      <c r="E29" s="13"/>
      <c r="F29" s="31"/>
      <c r="G29" s="31"/>
      <c r="H29" s="31"/>
      <c r="I29" s="229"/>
      <c r="J29" s="229"/>
    </row>
    <row r="30" spans="1:10" ht="30" customHeight="1" x14ac:dyDescent="0.15">
      <c r="A30" s="229"/>
      <c r="B30" s="229"/>
      <c r="C30" s="13"/>
      <c r="D30" s="13"/>
      <c r="E30" s="13"/>
      <c r="F30" s="31"/>
      <c r="G30" s="31"/>
      <c r="H30" s="31"/>
      <c r="I30" s="229"/>
      <c r="J30" s="229"/>
    </row>
  </sheetData>
  <mergeCells count="56">
    <mergeCell ref="A30:B30"/>
    <mergeCell ref="I30:J30"/>
    <mergeCell ref="A28:B28"/>
    <mergeCell ref="I28:J28"/>
    <mergeCell ref="A29:B29"/>
    <mergeCell ref="I29:J29"/>
    <mergeCell ref="A21:B21"/>
    <mergeCell ref="A27:B27"/>
    <mergeCell ref="I27:J27"/>
    <mergeCell ref="A24:B24"/>
    <mergeCell ref="I24:J24"/>
    <mergeCell ref="A25:B25"/>
    <mergeCell ref="I25:J25"/>
    <mergeCell ref="A26:B26"/>
    <mergeCell ref="I26:J26"/>
    <mergeCell ref="I21:J21"/>
    <mergeCell ref="A22:B22"/>
    <mergeCell ref="I22:J22"/>
    <mergeCell ref="A23:B23"/>
    <mergeCell ref="I23:J23"/>
    <mergeCell ref="I9:J9"/>
    <mergeCell ref="I10:J10"/>
    <mergeCell ref="I17:J17"/>
    <mergeCell ref="I11:J11"/>
    <mergeCell ref="I12:J12"/>
    <mergeCell ref="I13:J13"/>
    <mergeCell ref="I14:J14"/>
    <mergeCell ref="I15:J15"/>
    <mergeCell ref="I16:J16"/>
    <mergeCell ref="I18:J18"/>
    <mergeCell ref="I19:J19"/>
    <mergeCell ref="A18:B18"/>
    <mergeCell ref="A19:B19"/>
    <mergeCell ref="I20:J20"/>
    <mergeCell ref="A20:B20"/>
    <mergeCell ref="A9:B9"/>
    <mergeCell ref="A10:B10"/>
    <mergeCell ref="A11:B11"/>
    <mergeCell ref="A12:B12"/>
    <mergeCell ref="A13:B13"/>
    <mergeCell ref="A14:B14"/>
    <mergeCell ref="A15:B15"/>
    <mergeCell ref="A16:B16"/>
    <mergeCell ref="A17:B17"/>
    <mergeCell ref="A3:J3"/>
    <mergeCell ref="A7:B7"/>
    <mergeCell ref="A8:B8"/>
    <mergeCell ref="A5:B6"/>
    <mergeCell ref="D5:D6"/>
    <mergeCell ref="E5:E6"/>
    <mergeCell ref="F5:F6"/>
    <mergeCell ref="I7:J7"/>
    <mergeCell ref="I8:J8"/>
    <mergeCell ref="G5:H5"/>
    <mergeCell ref="I5:J6"/>
    <mergeCell ref="C5:C6"/>
  </mergeCells>
  <phoneticPr fontId="2"/>
  <printOptions horizontalCentered="1"/>
  <pageMargins left="0.51181102362204722" right="0.11811023622047245" top="0.35433070866141736" bottom="0.35433070866141736"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消費税有利判定</vt:lpstr>
      <vt:lpstr>消費税届出書提出履歴</vt:lpstr>
      <vt:lpstr>消費税有利判定!_DAT1</vt:lpstr>
      <vt:lpstr>消費税有利判定!_DAT3</vt:lpstr>
      <vt:lpstr>消費税有利判定!Print_Area</vt:lpstr>
      <vt:lpstr>消費税有利判定!Print_Titles</vt:lpstr>
      <vt:lpstr>消費税有利判定!TEST0</vt:lpstr>
      <vt:lpstr>消費税有利判定!TESTHKEY</vt:lpstr>
      <vt:lpstr>消費税有利判定!TESTKEYS</vt:lpstr>
      <vt:lpstr>消費税有利判定!TESTVKEY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小林敬幸税理士事務所</dc:creator>
  <cp:lastModifiedBy>小林敬幸税理士事務所</cp:lastModifiedBy>
  <cp:lastPrinted>2020-08-06T07:06:17Z</cp:lastPrinted>
  <dcterms:created xsi:type="dcterms:W3CDTF">2010-11-04T03:41:05Z</dcterms:created>
  <dcterms:modified xsi:type="dcterms:W3CDTF">2020-08-06T07:06:57Z</dcterms:modified>
</cp:coreProperties>
</file>